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chartsheets/sheet1.xml" ContentType="application/vnd.openxmlformats-officedocument.spreadsheetml.chartsheet+xml"/>
  <Override PartName="/xl/worksheets/sheet5.xml" ContentType="application/vnd.openxmlformats-officedocument.spreadsheetml.worksheet+xml"/>
  <Override PartName="/xl/chartsheets/sheet2.xml" ContentType="application/vnd.openxmlformats-officedocument.spreadsheetml.chart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ml.chartshape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827"/>
  <workbookPr date1904="1" codeName="ThisWorkbook" defaultThemeVersion="124226"/>
  <xr:revisionPtr revIDLastSave="3" documentId="11_D5E39CA343D39150850E5225A88F2B0022126FAA" xr6:coauthVersionLast="47" xr6:coauthVersionMax="47" xr10:uidLastSave="{C20673DC-6A17-4673-8735-61B7DE37EE44}"/>
  <bookViews>
    <workbookView xWindow="60" yWindow="15" windowWidth="9690" windowHeight="5640" firstSheet="1" xr2:uid="{00000000-000D-0000-FFFF-FFFF00000000}"/>
  </bookViews>
  <sheets>
    <sheet name="WAIS-IV" sheetId="1" r:id="rId1"/>
    <sheet name="Shares Abilities" sheetId="3" r:id="rId2"/>
    <sheet name="GF-GC" sheetId="8" r:id="rId3"/>
    <sheet name="Ways to Sort" sheetId="7" r:id="rId4"/>
    <sheet name="Subtest Graph" sheetId="2" r:id="rId5"/>
    <sheet name="Cult. &amp; Linq." sheetId="6" r:id="rId6"/>
    <sheet name="Order of Admin" sheetId="4" r:id="rId7"/>
  </sheets>
  <externalReferences>
    <externalReference r:id="rId8"/>
    <externalReference r:id="rId9"/>
    <externalReference r:id="rId10"/>
  </externalReferences>
  <definedNames>
    <definedName name="_____see95">'[1]t&amp;B for fsiq'!$A$22</definedName>
    <definedName name="____see95">'[1]t&amp;B for fsiq'!$A$22</definedName>
    <definedName name="___see95">'[1]t&amp;B for fsiq'!$A$22</definedName>
    <definedName name="__see95">'[1]t&amp;B for fsiq'!$A$22</definedName>
    <definedName name="_see95">'[2]t&amp;B for fsiq'!$A$22</definedName>
    <definedName name="AR">'WAIS-IV'!$F$17</definedName>
    <definedName name="_xlnm.Print_Area" localSheetId="5">'Cult. &amp; Linq.'!$B$3:$L$27</definedName>
    <definedName name="_xlnm.Print_Area" localSheetId="2">'GF-GC'!$A$2:$E$38</definedName>
    <definedName name="_xlnm.Print_Area" localSheetId="0">'WAIS-IV'!$A$1:$R$249</definedName>
    <definedName name="_xlnm.Print_Area" localSheetId="3">'Ways to Sort'!$A$1:$T$38</definedName>
    <definedName name="bd">'WAIS-IV'!$F$12</definedName>
    <definedName name="bdnt">'WAIS-IV'!$F$30</definedName>
    <definedName name="CA">'WAIS-IV'!$F$25</definedName>
    <definedName name="CD">'WAIS-IV'!$F$21</definedName>
    <definedName name="COMP">'WAIS-IV'!$F$24</definedName>
    <definedName name="compmean">'WAIS-IV'!$T$113</definedName>
    <definedName name="DS">'WAIS-IV'!$F$14</definedName>
    <definedName name="dsb">'WAIS-IV'!$F$32</definedName>
    <definedName name="dsf">'WAIS-IV'!$F$31</definedName>
    <definedName name="dssq">'WAIS-IV'!$F$33</definedName>
    <definedName name="fsiq">'WAIS-IV'!$H$50</definedName>
    <definedName name="FW">'WAIS-IV'!$F$23</definedName>
    <definedName name="gai2rel">'[3]TB GAI2'!$A$17</definedName>
    <definedName name="gai2see">'[3]TB GAI2'!$A$25</definedName>
    <definedName name="gai2sumr">'[3]TB GAI2'!$H$11</definedName>
    <definedName name="gair">'[3]TB for GAI'!$A$19</definedName>
    <definedName name="gaisumr">'[3]TB for GAI'!$I$15</definedName>
    <definedName name="IN">'WAIS-IV'!$F$20</definedName>
    <definedName name="ldsb">'WAIS-IV'!$G$35</definedName>
    <definedName name="ldsf">'WAIS-IV'!$G$34</definedName>
    <definedName name="ldssq">'WAIS-IV'!$G$36</definedName>
    <definedName name="llns">'WAIS-IV'!$G$37</definedName>
    <definedName name="lns">'WAIS-IV'!$F$22</definedName>
    <definedName name="MR">'WAIS-IV'!$F$15</definedName>
    <definedName name="n">'[2]t&amp;B for subs'!$A$32</definedName>
    <definedName name="PCm">'WAIS-IV'!$F$26</definedName>
    <definedName name="pcrank">'[2]T&amp;B DWI'!$E$66:$BJ$67</definedName>
    <definedName name="poi">'WAIS-IV'!$H$47</definedName>
    <definedName name="psi">'WAIS-IV'!$H$49</definedName>
    <definedName name="rel">'[2]t&amp;B for fsiq'!$A$14</definedName>
    <definedName name="sim">'WAIS-IV'!$F$13</definedName>
    <definedName name="SS">'WAIS-IV'!$F$18</definedName>
    <definedName name="sumc">'[2]t&amp;B for fsiq'!$I$12</definedName>
    <definedName name="sumcc">'[2]T&amp;B DWI2'!$F$9</definedName>
    <definedName name="sumcor">'[2]t&amp;B for vci+wmi'!$J$13</definedName>
    <definedName name="sumsem" localSheetId="3">[3]CVs!$F$18</definedName>
    <definedName name="sumsem">'WAIS-IV'!$F$18</definedName>
    <definedName name="sumsem10">[3]CVs!$F$34</definedName>
    <definedName name="vci">'WAIS-IV'!$H$46</definedName>
    <definedName name="VOC">'WAIS-IV'!$F$16</definedName>
    <definedName name="VP">'WAIS-IV'!$F$19</definedName>
    <definedName name="wmi">'WAIS-IV'!$H$48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0" i="6" l="1"/>
  <c r="J33" i="6"/>
  <c r="J19" i="6"/>
  <c r="K32" i="6"/>
  <c r="J18" i="6"/>
  <c r="J31" i="6"/>
  <c r="J17" i="6"/>
  <c r="K30" i="6"/>
  <c r="J8" i="6"/>
  <c r="K29" i="6"/>
  <c r="K31" i="6"/>
  <c r="K33" i="6"/>
  <c r="K35" i="6"/>
  <c r="H20" i="6"/>
  <c r="M20" i="6"/>
  <c r="H19" i="6"/>
  <c r="M19" i="6"/>
  <c r="H18" i="6"/>
  <c r="M18" i="6"/>
  <c r="H17" i="6"/>
  <c r="M17" i="6"/>
  <c r="F18" i="6"/>
  <c r="M21" i="6"/>
  <c r="M22" i="6"/>
  <c r="M23" i="6"/>
  <c r="M24" i="6"/>
  <c r="M25" i="6"/>
  <c r="O25" i="6"/>
  <c r="N17" i="6"/>
  <c r="N18" i="6"/>
  <c r="N19" i="6"/>
  <c r="N20" i="6"/>
  <c r="N21" i="6"/>
  <c r="N22" i="6"/>
  <c r="N23" i="6"/>
  <c r="N24" i="6"/>
  <c r="N25" i="6"/>
  <c r="P25" i="6"/>
  <c r="L18" i="6"/>
  <c r="L19" i="6"/>
  <c r="H13" i="6"/>
  <c r="M13" i="6"/>
  <c r="N13" i="6"/>
  <c r="L13" i="6"/>
  <c r="L14" i="6"/>
  <c r="F10" i="6"/>
  <c r="J29" i="6"/>
  <c r="J30" i="6"/>
  <c r="J32" i="6"/>
  <c r="J35" i="6"/>
  <c r="J23" i="6"/>
  <c r="J24" i="6"/>
  <c r="F9" i="6"/>
  <c r="F8" i="6"/>
  <c r="F7" i="6"/>
  <c r="U159" i="1"/>
  <c r="U158" i="1"/>
  <c r="D37" i="8"/>
  <c r="D33" i="8"/>
  <c r="D32" i="8"/>
  <c r="D28" i="8"/>
  <c r="D27" i="8"/>
  <c r="D26" i="8"/>
  <c r="D22" i="8"/>
  <c r="D20" i="8"/>
  <c r="D19" i="8"/>
  <c r="D21" i="8"/>
  <c r="D9" i="8"/>
  <c r="D8" i="8"/>
  <c r="D7" i="8"/>
  <c r="D6" i="8"/>
  <c r="D15" i="8"/>
  <c r="D14" i="8"/>
  <c r="D13" i="8"/>
  <c r="N233" i="1"/>
  <c r="V258" i="1"/>
  <c r="V257" i="1"/>
  <c r="V256" i="1"/>
  <c r="V270" i="1"/>
  <c r="V269" i="1"/>
  <c r="V268" i="1"/>
  <c r="V267" i="1"/>
  <c r="V266" i="1"/>
  <c r="V265" i="1"/>
  <c r="V264" i="1"/>
  <c r="V263" i="1"/>
  <c r="V262" i="1"/>
  <c r="V261" i="1"/>
  <c r="V260" i="1"/>
  <c r="V259" i="1"/>
  <c r="V255" i="1"/>
  <c r="V254" i="1"/>
  <c r="V253" i="1"/>
  <c r="M37" i="7"/>
  <c r="J37" i="7"/>
  <c r="L37" i="7"/>
  <c r="G37" i="7"/>
  <c r="I37" i="7"/>
  <c r="F37" i="7"/>
  <c r="D37" i="7"/>
  <c r="C37" i="7"/>
  <c r="N33" i="7"/>
  <c r="M33" i="7"/>
  <c r="L33" i="7"/>
  <c r="K33" i="7"/>
  <c r="J33" i="7"/>
  <c r="I33" i="7"/>
  <c r="H33" i="7"/>
  <c r="G33" i="7"/>
  <c r="E33" i="7"/>
  <c r="C33" i="7"/>
  <c r="G12" i="7"/>
  <c r="R29" i="7"/>
  <c r="P29" i="7"/>
  <c r="O29" i="7"/>
  <c r="N29" i="7"/>
  <c r="M29" i="7"/>
  <c r="K29" i="7"/>
  <c r="I29" i="7"/>
  <c r="H29" i="7"/>
  <c r="F29" i="7"/>
  <c r="E29" i="7"/>
  <c r="D29" i="7"/>
  <c r="C29" i="7"/>
  <c r="T25" i="7"/>
  <c r="S25" i="7"/>
  <c r="R25" i="7"/>
  <c r="Q25" i="7"/>
  <c r="I16" i="7"/>
  <c r="P25" i="7"/>
  <c r="N25" i="7"/>
  <c r="M25" i="7"/>
  <c r="K25" i="7"/>
  <c r="J25" i="7"/>
  <c r="I25" i="7"/>
  <c r="G25" i="7"/>
  <c r="F25" i="7"/>
  <c r="D25" i="7"/>
  <c r="C25" i="7"/>
  <c r="R21" i="7"/>
  <c r="Q21" i="7"/>
  <c r="P21" i="7"/>
  <c r="N21" i="7"/>
  <c r="M21" i="7"/>
  <c r="K21" i="7"/>
  <c r="J21" i="7"/>
  <c r="I21" i="7"/>
  <c r="G21" i="7"/>
  <c r="F21" i="7"/>
  <c r="D21" i="7"/>
  <c r="C21" i="7"/>
  <c r="T16" i="7"/>
  <c r="S16" i="7"/>
  <c r="R16" i="7"/>
  <c r="P16" i="7"/>
  <c r="O16" i="7"/>
  <c r="N16" i="7"/>
  <c r="L16" i="7"/>
  <c r="K16" i="7"/>
  <c r="J16" i="7"/>
  <c r="H16" i="7"/>
  <c r="F16" i="7"/>
  <c r="E16" i="7"/>
  <c r="D16" i="7"/>
  <c r="C16" i="7"/>
  <c r="R12" i="7"/>
  <c r="Q12" i="7"/>
  <c r="P12" i="7"/>
  <c r="O12" i="7"/>
  <c r="N12" i="7"/>
  <c r="M12" i="7"/>
  <c r="K12" i="7"/>
  <c r="J12" i="7"/>
  <c r="I12" i="7"/>
  <c r="H12" i="7"/>
  <c r="F12" i="7"/>
  <c r="E12" i="7"/>
  <c r="D12" i="7"/>
  <c r="C12" i="7"/>
  <c r="BI338" i="1"/>
  <c r="BJ338" i="1"/>
  <c r="BK338" i="1"/>
  <c r="BL338" i="1"/>
  <c r="BM338" i="1"/>
  <c r="BN338" i="1"/>
  <c r="BO338" i="1"/>
  <c r="BP338" i="1"/>
  <c r="BQ338" i="1"/>
  <c r="BR338" i="1"/>
  <c r="BS338" i="1"/>
  <c r="BT338" i="1"/>
  <c r="BU338" i="1"/>
  <c r="BV338" i="1"/>
  <c r="BW338" i="1"/>
  <c r="BX338" i="1"/>
  <c r="BY338" i="1"/>
  <c r="BZ338" i="1"/>
  <c r="CA338" i="1"/>
  <c r="CB338" i="1"/>
  <c r="CC338" i="1"/>
  <c r="CD338" i="1"/>
  <c r="CE338" i="1"/>
  <c r="CF338" i="1"/>
  <c r="CG338" i="1"/>
  <c r="CH338" i="1"/>
  <c r="CI338" i="1"/>
  <c r="CJ338" i="1"/>
  <c r="CK338" i="1"/>
  <c r="CL338" i="1"/>
  <c r="CM338" i="1"/>
  <c r="AE13" i="1"/>
  <c r="S8" i="7"/>
  <c r="R8" i="7"/>
  <c r="Q8" i="7"/>
  <c r="P8" i="7"/>
  <c r="O8" i="7"/>
  <c r="N8" i="7"/>
  <c r="M8" i="7"/>
  <c r="L8" i="7"/>
  <c r="J8" i="7"/>
  <c r="I8" i="7"/>
  <c r="H8" i="7"/>
  <c r="G8" i="7"/>
  <c r="F8" i="7"/>
  <c r="E8" i="7"/>
  <c r="D8" i="7"/>
  <c r="C8" i="7"/>
  <c r="D4" i="7"/>
  <c r="R4" i="7"/>
  <c r="Q4" i="7"/>
  <c r="P4" i="7"/>
  <c r="O4" i="7"/>
  <c r="N4" i="7"/>
  <c r="M4" i="7"/>
  <c r="L4" i="7"/>
  <c r="K4" i="7"/>
  <c r="J4" i="7"/>
  <c r="I4" i="7"/>
  <c r="H4" i="7"/>
  <c r="G4" i="7"/>
  <c r="F4" i="7"/>
  <c r="E4" i="7"/>
  <c r="M6" i="6"/>
  <c r="H30" i="6"/>
  <c r="W161" i="1"/>
  <c r="N133" i="1"/>
  <c r="N132" i="1"/>
  <c r="N129" i="1"/>
  <c r="N128" i="1"/>
  <c r="N124" i="1"/>
  <c r="N123" i="1"/>
  <c r="N122" i="1"/>
  <c r="N119" i="1"/>
  <c r="N117" i="1"/>
  <c r="N118" i="1"/>
  <c r="AE113" i="1"/>
  <c r="AE112" i="1"/>
  <c r="AE111" i="1"/>
  <c r="AE110" i="1"/>
  <c r="AG113" i="1"/>
  <c r="AG112" i="1"/>
  <c r="AG111" i="1"/>
  <c r="AG110" i="1"/>
  <c r="AF113" i="1"/>
  <c r="AF112" i="1"/>
  <c r="AF111" i="1"/>
  <c r="AF110" i="1"/>
  <c r="F245" i="1"/>
  <c r="F246" i="1"/>
  <c r="F244" i="1"/>
  <c r="F243" i="1"/>
  <c r="F242" i="1"/>
  <c r="F241" i="1"/>
  <c r="N243" i="1"/>
  <c r="N242" i="1"/>
  <c r="N241" i="1"/>
  <c r="G267" i="1"/>
  <c r="G266" i="1"/>
  <c r="G264" i="1"/>
  <c r="G263" i="1"/>
  <c r="N237" i="1"/>
  <c r="N236" i="1"/>
  <c r="N235" i="1"/>
  <c r="N234" i="1"/>
  <c r="F236" i="1"/>
  <c r="F235" i="1"/>
  <c r="F234" i="1"/>
  <c r="F233" i="1"/>
  <c r="G261" i="1"/>
  <c r="G260" i="1"/>
  <c r="G259" i="1"/>
  <c r="G258" i="1"/>
  <c r="G257" i="1"/>
  <c r="G256" i="1"/>
  <c r="G253" i="1"/>
  <c r="G254" i="1"/>
  <c r="G252" i="1"/>
  <c r="L213" i="1"/>
  <c r="L208" i="1"/>
  <c r="L211" i="1"/>
  <c r="AE208" i="1"/>
  <c r="L205" i="1"/>
  <c r="L202" i="1"/>
  <c r="L200" i="1"/>
  <c r="L195" i="1"/>
  <c r="L193" i="1"/>
  <c r="AE193" i="1"/>
  <c r="L191" i="1"/>
  <c r="AC191" i="1"/>
  <c r="L189" i="1"/>
  <c r="L186" i="1"/>
  <c r="L178" i="1"/>
  <c r="L180" i="1"/>
  <c r="L175" i="1"/>
  <c r="L172" i="1"/>
  <c r="T170" i="1"/>
  <c r="W164" i="1"/>
  <c r="X164" i="1"/>
  <c r="W163" i="1"/>
  <c r="W162" i="1"/>
  <c r="X162" i="1"/>
  <c r="X161" i="1"/>
  <c r="K161" i="1"/>
  <c r="W160" i="1"/>
  <c r="X160" i="1"/>
  <c r="U160" i="1"/>
  <c r="V160" i="1"/>
  <c r="C160" i="1"/>
  <c r="U161" i="1"/>
  <c r="U164" i="1"/>
  <c r="V164" i="1"/>
  <c r="C164" i="1"/>
  <c r="U163" i="1"/>
  <c r="U162" i="1"/>
  <c r="V162" i="1"/>
  <c r="C162" i="1"/>
  <c r="V163" i="1"/>
  <c r="C163" i="1"/>
  <c r="X163" i="1"/>
  <c r="V158" i="1"/>
  <c r="C158" i="1"/>
  <c r="W158" i="1"/>
  <c r="W38" i="1"/>
  <c r="F130" i="1"/>
  <c r="F129" i="1"/>
  <c r="F128" i="1"/>
  <c r="F134" i="1"/>
  <c r="F133" i="1"/>
  <c r="F132" i="1"/>
  <c r="F126" i="1"/>
  <c r="F125" i="1"/>
  <c r="F124" i="1"/>
  <c r="F123" i="1"/>
  <c r="F122" i="1"/>
  <c r="F120" i="1"/>
  <c r="F119" i="1"/>
  <c r="F118" i="1"/>
  <c r="F117" i="1"/>
  <c r="AF39" i="1"/>
  <c r="AE39" i="1"/>
  <c r="AF38" i="1"/>
  <c r="AE38" i="1"/>
  <c r="AF37" i="1"/>
  <c r="AE37" i="1"/>
  <c r="AE41" i="1"/>
  <c r="AC39" i="1"/>
  <c r="AB39" i="1"/>
  <c r="AC38" i="1"/>
  <c r="AC37" i="1"/>
  <c r="AB38" i="1"/>
  <c r="AB37" i="1"/>
  <c r="D93" i="1"/>
  <c r="Z43" i="1"/>
  <c r="Y43" i="1"/>
  <c r="Z40" i="1"/>
  <c r="Y40" i="1"/>
  <c r="Y39" i="1"/>
  <c r="Y38" i="1"/>
  <c r="Y37" i="1"/>
  <c r="V43" i="1"/>
  <c r="V39" i="1"/>
  <c r="V38" i="1"/>
  <c r="V37" i="1"/>
  <c r="W37" i="1"/>
  <c r="W39" i="1"/>
  <c r="W43" i="1"/>
  <c r="Z37" i="1"/>
  <c r="Z38" i="1"/>
  <c r="Z39" i="1"/>
  <c r="N5" i="1"/>
  <c r="U5" i="1"/>
  <c r="V5" i="1"/>
  <c r="W5" i="1"/>
  <c r="Y6" i="1"/>
  <c r="AA6" i="1"/>
  <c r="X6" i="1"/>
  <c r="T8" i="1"/>
  <c r="U8" i="1"/>
  <c r="U12" i="1"/>
  <c r="H12" i="1"/>
  <c r="L12" i="1"/>
  <c r="U13" i="1"/>
  <c r="U17" i="1"/>
  <c r="K17" i="1"/>
  <c r="U20" i="1"/>
  <c r="U24" i="1"/>
  <c r="G24" i="1"/>
  <c r="U26" i="1"/>
  <c r="H26" i="1"/>
  <c r="L13" i="1"/>
  <c r="U15" i="1"/>
  <c r="H15" i="1"/>
  <c r="U19" i="1"/>
  <c r="H19" i="1"/>
  <c r="U22" i="1"/>
  <c r="U14" i="1"/>
  <c r="U16" i="1"/>
  <c r="K16" i="1"/>
  <c r="U18" i="1"/>
  <c r="K18" i="1"/>
  <c r="U21" i="1"/>
  <c r="U23" i="1"/>
  <c r="K23" i="1"/>
  <c r="U25" i="1"/>
  <c r="AG13" i="1"/>
  <c r="L14" i="1"/>
  <c r="L15" i="1"/>
  <c r="L16" i="1"/>
  <c r="L17" i="1"/>
  <c r="L18" i="1"/>
  <c r="L19" i="1"/>
  <c r="L20" i="1"/>
  <c r="L21" i="1"/>
  <c r="L22" i="1"/>
  <c r="L23" i="1"/>
  <c r="L24" i="1"/>
  <c r="L25" i="1"/>
  <c r="L26" i="1"/>
  <c r="L30" i="1"/>
  <c r="L31" i="1"/>
  <c r="L32" i="1"/>
  <c r="L33" i="1"/>
  <c r="V46" i="1"/>
  <c r="W46" i="1"/>
  <c r="V47" i="1"/>
  <c r="W47" i="1"/>
  <c r="V48" i="1"/>
  <c r="W48" i="1"/>
  <c r="AC48" i="1"/>
  <c r="V49" i="1"/>
  <c r="W49" i="1"/>
  <c r="V50" i="1"/>
  <c r="W50" i="1"/>
  <c r="U93" i="1"/>
  <c r="U95" i="1"/>
  <c r="D94" i="1"/>
  <c r="AF119" i="1"/>
  <c r="AG119" i="1"/>
  <c r="AH119" i="1"/>
  <c r="AI119" i="1"/>
  <c r="AJ119" i="1"/>
  <c r="AK119" i="1"/>
  <c r="AF120" i="1"/>
  <c r="AG120" i="1"/>
  <c r="AH120" i="1"/>
  <c r="AI120" i="1"/>
  <c r="AJ120" i="1"/>
  <c r="AK120" i="1"/>
  <c r="AF121" i="1"/>
  <c r="AG121" i="1"/>
  <c r="AH121" i="1"/>
  <c r="AI121" i="1"/>
  <c r="AJ121" i="1"/>
  <c r="AK121" i="1"/>
  <c r="L130" i="1"/>
  <c r="W146" i="1"/>
  <c r="X146" i="1"/>
  <c r="K146" i="1"/>
  <c r="K151" i="1"/>
  <c r="W154" i="1"/>
  <c r="X154" i="1"/>
  <c r="K154" i="1"/>
  <c r="X158" i="1"/>
  <c r="V159" i="1"/>
  <c r="C159" i="1"/>
  <c r="W159" i="1"/>
  <c r="V161" i="1"/>
  <c r="C161" i="1"/>
  <c r="AC184" i="1"/>
  <c r="AC185" i="1"/>
  <c r="AE185" i="1"/>
  <c r="AC186" i="1"/>
  <c r="AE186" i="1"/>
  <c r="AC188" i="1"/>
  <c r="AE188" i="1"/>
  <c r="AC189" i="1"/>
  <c r="AE189" i="1"/>
  <c r="AC190" i="1"/>
  <c r="AE190" i="1"/>
  <c r="AC193" i="1"/>
  <c r="AC194" i="1"/>
  <c r="AC195" i="1"/>
  <c r="AE195" i="1"/>
  <c r="AC197" i="1"/>
  <c r="AE197" i="1"/>
  <c r="AC198" i="1"/>
  <c r="AE198" i="1"/>
  <c r="AC200" i="1"/>
  <c r="AE200" i="1"/>
  <c r="AC201" i="1"/>
  <c r="AE201" i="1"/>
  <c r="AC202" i="1"/>
  <c r="AC203" i="1"/>
  <c r="AE203" i="1"/>
  <c r="AE204" i="1"/>
  <c r="AC204" i="1"/>
  <c r="AC205" i="1"/>
  <c r="AE205" i="1"/>
  <c r="AC206" i="1"/>
  <c r="AE206" i="1"/>
  <c r="AC207" i="1"/>
  <c r="AE207" i="1"/>
  <c r="AC208" i="1"/>
  <c r="AC209" i="1"/>
  <c r="AE209" i="1"/>
  <c r="AC210" i="1"/>
  <c r="AE210" i="1"/>
  <c r="AC211" i="1"/>
  <c r="AE211" i="1"/>
  <c r="AC213" i="1"/>
  <c r="AC214" i="1"/>
  <c r="AE214" i="1"/>
  <c r="AC215" i="1"/>
  <c r="AE215" i="1"/>
  <c r="AC216" i="1"/>
  <c r="AE216" i="1"/>
  <c r="AC217" i="1"/>
  <c r="AE217" i="1"/>
  <c r="AC218" i="1"/>
  <c r="AE218" i="1"/>
  <c r="AC219" i="1"/>
  <c r="AE219" i="1"/>
  <c r="AC220" i="1"/>
  <c r="AE220" i="1"/>
  <c r="AC221" i="1"/>
  <c r="AE221" i="1"/>
  <c r="AC222" i="1"/>
  <c r="AE222" i="1"/>
  <c r="AC223" i="1"/>
  <c r="AE223" i="1"/>
  <c r="AC224" i="1"/>
  <c r="AE224" i="1"/>
  <c r="AW332" i="1"/>
  <c r="AX332" i="1"/>
  <c r="K371" i="1"/>
  <c r="V371" i="1"/>
  <c r="AG371" i="1"/>
  <c r="K372" i="1"/>
  <c r="V372" i="1"/>
  <c r="AG372" i="1"/>
  <c r="K373" i="1"/>
  <c r="V373" i="1"/>
  <c r="AG373" i="1"/>
  <c r="K374" i="1"/>
  <c r="V374" i="1"/>
  <c r="AG374" i="1"/>
  <c r="K375" i="1"/>
  <c r="V375" i="1"/>
  <c r="AG375" i="1"/>
  <c r="K376" i="1"/>
  <c r="V376" i="1"/>
  <c r="AG376" i="1"/>
  <c r="K377" i="1"/>
  <c r="V377" i="1"/>
  <c r="AG377" i="1"/>
  <c r="K378" i="1"/>
  <c r="V378" i="1"/>
  <c r="AG378" i="1"/>
  <c r="K379" i="1"/>
  <c r="V379" i="1"/>
  <c r="AG379" i="1"/>
  <c r="K380" i="1"/>
  <c r="V380" i="1"/>
  <c r="AG380" i="1"/>
  <c r="K381" i="1"/>
  <c r="V381" i="1"/>
  <c r="AG381" i="1"/>
  <c r="K382" i="1"/>
  <c r="V382" i="1"/>
  <c r="AG382" i="1"/>
  <c r="K383" i="1"/>
  <c r="V383" i="1"/>
  <c r="AG383" i="1"/>
  <c r="K26" i="1"/>
  <c r="U148" i="1"/>
  <c r="U146" i="1"/>
  <c r="V146" i="1"/>
  <c r="C146" i="1"/>
  <c r="AE43" i="1"/>
  <c r="U144" i="1"/>
  <c r="U142" i="1"/>
  <c r="V142" i="1"/>
  <c r="C142" i="1"/>
  <c r="W142" i="1"/>
  <c r="X142" i="1"/>
  <c r="K142" i="1"/>
  <c r="U152" i="1"/>
  <c r="U154" i="1"/>
  <c r="U140" i="1"/>
  <c r="V140" i="1"/>
  <c r="C140" i="1"/>
  <c r="U138" i="1"/>
  <c r="W140" i="1"/>
  <c r="X140" i="1"/>
  <c r="K140" i="1"/>
  <c r="AB47" i="1"/>
  <c r="I126" i="1"/>
  <c r="U150" i="1"/>
  <c r="Z5" i="1"/>
  <c r="U103" i="1"/>
  <c r="U105" i="1"/>
  <c r="D104" i="1"/>
  <c r="W152" i="1"/>
  <c r="X152" i="1"/>
  <c r="K152" i="1"/>
  <c r="W148" i="1"/>
  <c r="X148" i="1"/>
  <c r="K148" i="1"/>
  <c r="AD46" i="1"/>
  <c r="AH112" i="1"/>
  <c r="AH113" i="1"/>
  <c r="T234" i="1"/>
  <c r="W150" i="1"/>
  <c r="X150" i="1"/>
  <c r="K150" i="1"/>
  <c r="AA50" i="1"/>
  <c r="T235" i="1"/>
  <c r="W45" i="1"/>
  <c r="AF114" i="1"/>
  <c r="AG114" i="1"/>
  <c r="AE114" i="1"/>
  <c r="AH110" i="1"/>
  <c r="I120" i="1"/>
  <c r="I125" i="1"/>
  <c r="U233" i="1"/>
  <c r="T233" i="1"/>
  <c r="T236" i="1"/>
  <c r="AH111" i="1"/>
  <c r="AW334" i="1"/>
  <c r="W144" i="1"/>
  <c r="X144" i="1"/>
  <c r="K144" i="1"/>
  <c r="W138" i="1"/>
  <c r="X138" i="1"/>
  <c r="K138" i="1"/>
  <c r="W21" i="1"/>
  <c r="AA5" i="1"/>
  <c r="AA7" i="1"/>
  <c r="AA8" i="1"/>
  <c r="K164" i="1"/>
  <c r="K162" i="1"/>
  <c r="K163" i="1"/>
  <c r="W22" i="1"/>
  <c r="K13" i="1"/>
  <c r="AD50" i="1"/>
  <c r="AE50" i="1"/>
  <c r="W19" i="1"/>
  <c r="AX334" i="1"/>
  <c r="X159" i="1"/>
  <c r="K159" i="1"/>
  <c r="W20" i="1"/>
  <c r="K158" i="1"/>
  <c r="V138" i="1"/>
  <c r="C138" i="1"/>
  <c r="AB48" i="1"/>
  <c r="K160" i="1"/>
  <c r="H23" i="1"/>
  <c r="H28" i="1"/>
  <c r="Y13" i="1"/>
  <c r="I22" i="1"/>
  <c r="AC43" i="1"/>
  <c r="AA49" i="1"/>
  <c r="AA51" i="1"/>
  <c r="AE194" i="1"/>
  <c r="AF43" i="1"/>
  <c r="AD47" i="1"/>
  <c r="K83" i="1"/>
  <c r="AD49" i="1"/>
  <c r="AD51" i="1"/>
  <c r="M94" i="1"/>
  <c r="U94" i="1"/>
  <c r="D97" i="1"/>
  <c r="AB41" i="1"/>
  <c r="M104" i="1"/>
  <c r="Z45" i="1"/>
  <c r="U235" i="1"/>
  <c r="AE184" i="1"/>
  <c r="AG24" i="1"/>
  <c r="AE21" i="1"/>
  <c r="AE18" i="1"/>
  <c r="K12" i="1"/>
  <c r="AE19" i="1"/>
  <c r="AE23" i="1"/>
  <c r="AE20" i="1"/>
  <c r="AE22" i="1"/>
  <c r="AA19" i="1"/>
  <c r="AA17" i="1"/>
  <c r="AA18" i="1"/>
  <c r="AA20" i="1"/>
  <c r="G16" i="1"/>
  <c r="W23" i="1"/>
  <c r="N21" i="1"/>
  <c r="V150" i="1"/>
  <c r="C150" i="1"/>
  <c r="AB43" i="1"/>
  <c r="D103" i="1"/>
  <c r="AA47" i="1"/>
  <c r="L111" i="1"/>
  <c r="V144" i="1"/>
  <c r="C144" i="1"/>
  <c r="U236" i="1"/>
  <c r="U234" i="1"/>
  <c r="AE191" i="1"/>
  <c r="J18" i="1"/>
  <c r="I17" i="1"/>
  <c r="N18" i="1"/>
  <c r="K24" i="1"/>
  <c r="K22" i="1"/>
  <c r="AE17" i="1"/>
  <c r="K15" i="1"/>
  <c r="K25" i="1"/>
  <c r="J25" i="1"/>
  <c r="K14" i="1"/>
  <c r="I14" i="1"/>
  <c r="I34" i="6"/>
  <c r="H34" i="6"/>
  <c r="H31" i="6"/>
  <c r="I31" i="6"/>
  <c r="F30" i="6"/>
  <c r="G30" i="6"/>
  <c r="M8" i="6"/>
  <c r="N8" i="6"/>
  <c r="I30" i="6"/>
  <c r="U104" i="1"/>
  <c r="D107" i="1"/>
  <c r="N16" i="1"/>
  <c r="K19" i="1"/>
  <c r="X5" i="1"/>
  <c r="X7" i="1"/>
  <c r="N8" i="1"/>
  <c r="K21" i="1"/>
  <c r="J21" i="1"/>
  <c r="J28" i="1"/>
  <c r="AC13" i="1"/>
  <c r="G20" i="1"/>
  <c r="K20" i="1"/>
  <c r="G13" i="1"/>
  <c r="M7" i="6"/>
  <c r="N7" i="6"/>
  <c r="G29" i="6"/>
  <c r="F29" i="6"/>
  <c r="M9" i="6"/>
  <c r="N9" i="6"/>
  <c r="G31" i="6"/>
  <c r="F31" i="6"/>
  <c r="Y5" i="1"/>
  <c r="Y7" i="1"/>
  <c r="Y8" i="1"/>
  <c r="V148" i="1"/>
  <c r="C148" i="1"/>
  <c r="V152" i="1"/>
  <c r="C152" i="1"/>
  <c r="V154" i="1"/>
  <c r="C154" i="1"/>
  <c r="AD52" i="1"/>
  <c r="AE24" i="1"/>
  <c r="AG48" i="1"/>
  <c r="AH114" i="1"/>
  <c r="AE48" i="1"/>
  <c r="K112" i="1"/>
  <c r="K124" i="1"/>
  <c r="AA48" i="1"/>
  <c r="K111" i="1"/>
  <c r="I83" i="1"/>
  <c r="L112" i="1"/>
  <c r="K125" i="1"/>
  <c r="K6" i="3"/>
  <c r="K8" i="3"/>
  <c r="V235" i="1"/>
  <c r="D232" i="1"/>
  <c r="V234" i="1"/>
  <c r="P245" i="1"/>
  <c r="V233" i="1"/>
  <c r="P236" i="1"/>
  <c r="AE49" i="1"/>
  <c r="AF50" i="1"/>
  <c r="AG51" i="1"/>
  <c r="AG53" i="1"/>
  <c r="V236" i="1"/>
  <c r="I232" i="1"/>
  <c r="U78" i="1"/>
  <c r="D78" i="1"/>
  <c r="M78" i="1"/>
  <c r="I28" i="1"/>
  <c r="AA13" i="1"/>
  <c r="U224" i="1"/>
  <c r="AI47" i="1"/>
  <c r="M83" i="1"/>
  <c r="N25" i="1"/>
  <c r="AA24" i="1"/>
  <c r="N23" i="1"/>
  <c r="AA52" i="1"/>
  <c r="G28" i="1"/>
  <c r="U84" i="1"/>
  <c r="D83" i="1"/>
  <c r="K28" i="1"/>
  <c r="Z13" i="1"/>
  <c r="F50" i="1"/>
  <c r="N14" i="1"/>
  <c r="F48" i="1"/>
  <c r="I32" i="6"/>
  <c r="H32" i="6"/>
  <c r="F34" i="6"/>
  <c r="G34" i="6"/>
  <c r="H33" i="6"/>
  <c r="I33" i="6"/>
  <c r="N6" i="6"/>
  <c r="F49" i="1"/>
  <c r="U225" i="1"/>
  <c r="K118" i="1"/>
  <c r="U118" i="1"/>
  <c r="K123" i="1"/>
  <c r="N12" i="1"/>
  <c r="AC7" i="1"/>
  <c r="N6" i="1"/>
  <c r="N48" i="1"/>
  <c r="U48" i="1"/>
  <c r="D262" i="1"/>
  <c r="J48" i="1"/>
  <c r="D265" i="1"/>
  <c r="U49" i="1"/>
  <c r="N49" i="1"/>
  <c r="J49" i="1"/>
  <c r="D255" i="1"/>
  <c r="N47" i="1"/>
  <c r="J47" i="1"/>
  <c r="U47" i="1"/>
  <c r="J50" i="1"/>
  <c r="U66" i="1"/>
  <c r="N50" i="1"/>
  <c r="U50" i="1"/>
  <c r="W13" i="1"/>
  <c r="U222" i="1"/>
  <c r="AE54" i="1"/>
  <c r="K126" i="1"/>
  <c r="K122" i="1"/>
  <c r="U122" i="1"/>
  <c r="AG52" i="1"/>
  <c r="K119" i="1"/>
  <c r="V119" i="1"/>
  <c r="K120" i="1"/>
  <c r="V120" i="1"/>
  <c r="N130" i="1"/>
  <c r="N125" i="1"/>
  <c r="N120" i="1"/>
  <c r="N134" i="1"/>
  <c r="N126" i="1"/>
  <c r="L113" i="1"/>
  <c r="K117" i="1"/>
  <c r="D6" i="3"/>
  <c r="D8" i="3"/>
  <c r="I35" i="6"/>
  <c r="AI48" i="1"/>
  <c r="K113" i="1"/>
  <c r="P124" i="1"/>
  <c r="U82" i="1"/>
  <c r="AE202" i="1"/>
  <c r="U125" i="1"/>
  <c r="V125" i="1"/>
  <c r="U123" i="1"/>
  <c r="V123" i="1"/>
  <c r="AI52" i="1"/>
  <c r="H35" i="6"/>
  <c r="U83" i="1"/>
  <c r="AE213" i="1"/>
  <c r="V224" i="1"/>
  <c r="F223" i="1"/>
  <c r="W11" i="1"/>
  <c r="L371" i="1"/>
  <c r="W371" i="1"/>
  <c r="AH371" i="1"/>
  <c r="L6" i="3"/>
  <c r="L8" i="3"/>
  <c r="I6" i="3"/>
  <c r="I8" i="3"/>
  <c r="V118" i="1"/>
  <c r="L118" i="1"/>
  <c r="E7" i="3"/>
  <c r="E6" i="3"/>
  <c r="E8" i="3"/>
  <c r="V122" i="1"/>
  <c r="F46" i="1"/>
  <c r="H23" i="6"/>
  <c r="H24" i="6"/>
  <c r="H6" i="3"/>
  <c r="H8" i="3"/>
  <c r="Y49" i="1"/>
  <c r="X49" i="1"/>
  <c r="X48" i="1"/>
  <c r="Y48" i="1"/>
  <c r="Y47" i="1"/>
  <c r="X47" i="1"/>
  <c r="U117" i="1"/>
  <c r="F6" i="3"/>
  <c r="F8" i="3"/>
  <c r="U120" i="1"/>
  <c r="L120" i="1"/>
  <c r="F7" i="3"/>
  <c r="G6" i="3"/>
  <c r="G8" i="3"/>
  <c r="X50" i="1"/>
  <c r="Y50" i="1"/>
  <c r="U126" i="1"/>
  <c r="V126" i="1"/>
  <c r="P128" i="1"/>
  <c r="W128" i="1"/>
  <c r="AA128" i="1"/>
  <c r="P120" i="1"/>
  <c r="P134" i="1"/>
  <c r="P130" i="1"/>
  <c r="P126" i="1"/>
  <c r="X126" i="1"/>
  <c r="P125" i="1"/>
  <c r="L125" i="1"/>
  <c r="K7" i="3"/>
  <c r="K12" i="3"/>
  <c r="K19" i="3"/>
  <c r="K26" i="3"/>
  <c r="K27" i="3"/>
  <c r="K30" i="3"/>
  <c r="K35" i="3"/>
  <c r="V117" i="1"/>
  <c r="V83" i="1"/>
  <c r="D86" i="1"/>
  <c r="L123" i="1"/>
  <c r="I7" i="3"/>
  <c r="I12" i="3"/>
  <c r="I13" i="3"/>
  <c r="I18" i="3"/>
  <c r="I27" i="3"/>
  <c r="I30" i="3"/>
  <c r="I35" i="3"/>
  <c r="I40" i="3"/>
  <c r="P132" i="1"/>
  <c r="P122" i="1"/>
  <c r="X122" i="1"/>
  <c r="P119" i="1"/>
  <c r="P117" i="1"/>
  <c r="P118" i="1"/>
  <c r="W124" i="1"/>
  <c r="AA124" i="1"/>
  <c r="X124" i="1"/>
  <c r="P129" i="1"/>
  <c r="N6" i="3"/>
  <c r="N8" i="3"/>
  <c r="P133" i="1"/>
  <c r="Q6" i="3"/>
  <c r="Q8" i="3"/>
  <c r="P123" i="1"/>
  <c r="X123" i="1"/>
  <c r="L122" i="1"/>
  <c r="H7" i="3"/>
  <c r="H12" i="3"/>
  <c r="H17" i="3"/>
  <c r="H18" i="3"/>
  <c r="H23" i="3"/>
  <c r="H35" i="3"/>
  <c r="H41" i="3"/>
  <c r="W126" i="1"/>
  <c r="AA126" i="1"/>
  <c r="X128" i="1"/>
  <c r="L117" i="1"/>
  <c r="D7" i="3"/>
  <c r="D11" i="3"/>
  <c r="D13" i="3"/>
  <c r="D16" i="3"/>
  <c r="D21" i="3"/>
  <c r="D23" i="3"/>
  <c r="D24" i="3"/>
  <c r="D27" i="3"/>
  <c r="D33" i="3"/>
  <c r="L50" i="1"/>
  <c r="L47" i="1"/>
  <c r="L49" i="1"/>
  <c r="L48" i="1"/>
  <c r="W132" i="1"/>
  <c r="AA132" i="1"/>
  <c r="P6" i="3"/>
  <c r="P8" i="3"/>
  <c r="L126" i="1"/>
  <c r="L7" i="3"/>
  <c r="L10" i="3"/>
  <c r="L13" i="3"/>
  <c r="L17" i="3"/>
  <c r="L19" i="3"/>
  <c r="L34" i="3"/>
  <c r="L35" i="3"/>
  <c r="L40" i="3"/>
  <c r="W130" i="1"/>
  <c r="AA130" i="1"/>
  <c r="O6" i="3"/>
  <c r="O8" i="3"/>
  <c r="Q128" i="1"/>
  <c r="M7" i="3"/>
  <c r="M6" i="3"/>
  <c r="M8" i="3"/>
  <c r="M10" i="3"/>
  <c r="M11" i="3"/>
  <c r="M14" i="3"/>
  <c r="M16" i="3"/>
  <c r="X132" i="1"/>
  <c r="X130" i="1"/>
  <c r="Q126" i="1"/>
  <c r="AB126" i="1"/>
  <c r="W122" i="1"/>
  <c r="Q122" i="1"/>
  <c r="AB122" i="1"/>
  <c r="W120" i="1"/>
  <c r="X120" i="1"/>
  <c r="W119" i="1"/>
  <c r="X119" i="1"/>
  <c r="Q124" i="1"/>
  <c r="AB124" i="1"/>
  <c r="W117" i="1"/>
  <c r="X117" i="1"/>
  <c r="Q117" i="1"/>
  <c r="AB117" i="1"/>
  <c r="W134" i="1"/>
  <c r="R6" i="3"/>
  <c r="R8" i="3"/>
  <c r="X134" i="1"/>
  <c r="W118" i="1"/>
  <c r="AA118" i="1"/>
  <c r="X118" i="1"/>
  <c r="W123" i="1"/>
  <c r="Q123" i="1"/>
  <c r="AB123" i="1"/>
  <c r="W129" i="1"/>
  <c r="X129" i="1"/>
  <c r="Q129" i="1"/>
  <c r="W125" i="1"/>
  <c r="X125" i="1"/>
  <c r="W133" i="1"/>
  <c r="X133" i="1"/>
  <c r="Q133" i="1"/>
  <c r="Q7" i="3"/>
  <c r="Q10" i="3"/>
  <c r="Q12" i="3"/>
  <c r="Q14" i="3"/>
  <c r="Q17" i="3"/>
  <c r="Q18" i="3"/>
  <c r="Q26" i="3"/>
  <c r="Q32" i="3"/>
  <c r="Q34" i="3"/>
  <c r="Q36" i="3"/>
  <c r="Q41" i="3"/>
  <c r="J46" i="1"/>
  <c r="U46" i="1"/>
  <c r="Y56" i="1"/>
  <c r="D251" i="1"/>
  <c r="Y55" i="1"/>
  <c r="Y57" i="1"/>
  <c r="C66" i="1"/>
  <c r="T66" i="1"/>
  <c r="F67" i="1"/>
  <c r="D56" i="1"/>
  <c r="T67" i="1"/>
  <c r="AL48" i="1"/>
  <c r="AL49" i="1"/>
  <c r="T56" i="1"/>
  <c r="U56" i="1"/>
  <c r="N46" i="1"/>
  <c r="Q134" i="1"/>
  <c r="R7" i="3"/>
  <c r="R10" i="3"/>
  <c r="R12" i="3"/>
  <c r="Q125" i="1"/>
  <c r="AB125" i="1"/>
  <c r="Q120" i="1"/>
  <c r="AB120" i="1"/>
  <c r="AA120" i="1"/>
  <c r="Q119" i="1"/>
  <c r="AB119" i="1"/>
  <c r="AA119" i="1"/>
  <c r="Q118" i="1"/>
  <c r="AB118" i="1"/>
  <c r="AA129" i="1"/>
  <c r="AA125" i="1"/>
  <c r="D57" i="1"/>
  <c r="C67" i="1"/>
  <c r="L57" i="1"/>
  <c r="T57" i="1"/>
  <c r="D60" i="1"/>
  <c r="L67" i="1"/>
  <c r="T69" i="1"/>
  <c r="D70" i="1"/>
  <c r="Y46" i="1"/>
  <c r="X46" i="1"/>
  <c r="L46" i="1"/>
  <c r="R13" i="3"/>
  <c r="R14" i="3"/>
  <c r="R17" i="3"/>
  <c r="R18" i="3"/>
  <c r="R31" i="3"/>
  <c r="R35" i="3"/>
  <c r="R36" i="3"/>
  <c r="R41" i="3"/>
  <c r="N7" i="3"/>
  <c r="N10" i="3"/>
  <c r="N11" i="3"/>
  <c r="N14" i="3"/>
  <c r="N15" i="3"/>
  <c r="N21" i="3"/>
  <c r="N22" i="3"/>
  <c r="N26" i="3"/>
  <c r="N27" i="3"/>
  <c r="N29" i="3"/>
  <c r="N32" i="3"/>
  <c r="N39" i="3"/>
  <c r="AB127" i="1"/>
  <c r="J6" i="3"/>
  <c r="J8" i="3"/>
  <c r="U124" i="1"/>
  <c r="V124" i="1"/>
  <c r="U223" i="1"/>
  <c r="V222" i="1"/>
  <c r="F222" i="1"/>
  <c r="H222" i="1"/>
  <c r="F47" i="1"/>
  <c r="F11" i="3"/>
  <c r="F21" i="3"/>
  <c r="F22" i="3"/>
  <c r="F24" i="3"/>
  <c r="F25" i="3"/>
  <c r="F28" i="3"/>
  <c r="F29" i="3"/>
  <c r="F39" i="3"/>
  <c r="M29" i="3"/>
  <c r="M32" i="3"/>
  <c r="M39" i="3"/>
  <c r="M26" i="3"/>
  <c r="E16" i="3"/>
  <c r="E21" i="3"/>
  <c r="E22" i="3"/>
  <c r="E23" i="3"/>
  <c r="E24" i="3"/>
  <c r="E28" i="3"/>
  <c r="E38" i="3"/>
  <c r="E11" i="3"/>
  <c r="M10" i="6"/>
  <c r="O10" i="6"/>
  <c r="N10" i="6"/>
  <c r="P10" i="6"/>
  <c r="L8" i="6"/>
  <c r="L9" i="6"/>
  <c r="F32" i="6"/>
  <c r="F35" i="6"/>
  <c r="G32" i="6"/>
  <c r="G35" i="6"/>
  <c r="AA135" i="1"/>
  <c r="AA123" i="1"/>
  <c r="AA117" i="1"/>
  <c r="AA122" i="1"/>
  <c r="Q132" i="1"/>
  <c r="P7" i="3"/>
  <c r="P10" i="3"/>
  <c r="P12" i="3"/>
  <c r="P13" i="3"/>
  <c r="P14" i="3"/>
  <c r="P17" i="3"/>
  <c r="P18" i="3"/>
  <c r="P31" i="3"/>
  <c r="P41" i="3"/>
  <c r="Q130" i="1"/>
  <c r="U119" i="1"/>
  <c r="L119" i="1"/>
  <c r="G7" i="3"/>
  <c r="G11" i="3"/>
  <c r="G15" i="3"/>
  <c r="G21" i="3"/>
  <c r="G24" i="3"/>
  <c r="G25" i="3"/>
  <c r="G33" i="3"/>
  <c r="G38" i="3"/>
  <c r="O7" i="3"/>
  <c r="O10" i="3"/>
  <c r="O11" i="3"/>
  <c r="O14" i="3"/>
  <c r="O16" i="3"/>
  <c r="O26" i="3"/>
  <c r="O29" i="3"/>
  <c r="O32" i="3"/>
  <c r="O39" i="3"/>
  <c r="AB129" i="1"/>
  <c r="AA133" i="1"/>
  <c r="F23" i="6"/>
  <c r="F24" i="6"/>
  <c r="L124" i="1"/>
  <c r="J7" i="3"/>
  <c r="J18" i="3"/>
  <c r="J35" i="3"/>
  <c r="J40" i="3"/>
</calcChain>
</file>

<file path=xl/sharedStrings.xml><?xml version="1.0" encoding="utf-8"?>
<sst xmlns="http://schemas.openxmlformats.org/spreadsheetml/2006/main" count="798" uniqueCount="444">
  <si>
    <r>
      <t>Wechsler Adult Intelligence Scale - Fourth Edition</t>
    </r>
    <r>
      <rPr>
        <sz val="8"/>
        <color indexed="49"/>
        <rFont val="Arial"/>
        <family val="2"/>
      </rPr>
      <t>© The Psychological Corporation., 2008. All Rights Reserved</t>
    </r>
  </si>
  <si>
    <t>Dumont-Willis WAIS-IV Interpretive Worksheet</t>
  </si>
  <si>
    <r>
      <t>Use the TAB key to navigate to cells requiring input -</t>
    </r>
    <r>
      <rPr>
        <i/>
        <sz val="8"/>
        <color indexed="10"/>
        <rFont val="Arial"/>
        <family val="2"/>
      </rPr>
      <t xml:space="preserve"> Text highlighted in red</t>
    </r>
  </si>
  <si>
    <t xml:space="preserve">Name: </t>
  </si>
  <si>
    <t>M C</t>
  </si>
  <si>
    <t>Date of Test:</t>
  </si>
  <si>
    <t xml:space="preserve">Date Analyzed: </t>
  </si>
  <si>
    <t>Date of Birth:</t>
  </si>
  <si>
    <t xml:space="preserve">Age:   </t>
  </si>
  <si>
    <t/>
  </si>
  <si>
    <t xml:space="preserve"> </t>
  </si>
  <si>
    <t>SUBTESTS</t>
  </si>
  <si>
    <t>ss</t>
  </si>
  <si>
    <t>VCI</t>
  </si>
  <si>
    <t>PRI</t>
  </si>
  <si>
    <t>WM</t>
  </si>
  <si>
    <t>PS</t>
  </si>
  <si>
    <t>Full Scale</t>
  </si>
  <si>
    <t>PR</t>
  </si>
  <si>
    <t>age grp</t>
  </si>
  <si>
    <t>Check the subtests used in the Full Scale IQ calculation.  Core subtests are those within the border</t>
  </si>
  <si>
    <t>bd</t>
  </si>
  <si>
    <t>p</t>
  </si>
  <si>
    <t>fs</t>
  </si>
  <si>
    <t>wmi</t>
  </si>
  <si>
    <t>psi</t>
  </si>
  <si>
    <t>ps</t>
  </si>
  <si>
    <t>sim</t>
  </si>
  <si>
    <t>v</t>
  </si>
  <si>
    <t>ds</t>
  </si>
  <si>
    <t>w</t>
  </si>
  <si>
    <t>mr</t>
  </si>
  <si>
    <t>voc</t>
  </si>
  <si>
    <t>s</t>
  </si>
  <si>
    <t>ar</t>
  </si>
  <si>
    <t>S V I</t>
  </si>
  <si>
    <t>BD MR VP</t>
  </si>
  <si>
    <t>SS</t>
  </si>
  <si>
    <t>C V I</t>
  </si>
  <si>
    <t>FW MR VP</t>
  </si>
  <si>
    <t>VP</t>
  </si>
  <si>
    <t>S C I</t>
  </si>
  <si>
    <t>BD FW VP</t>
  </si>
  <si>
    <t>Inf</t>
  </si>
  <si>
    <t>S V C</t>
  </si>
  <si>
    <t>BD MR FW</t>
  </si>
  <si>
    <t>cd</t>
  </si>
  <si>
    <t>verbal</t>
  </si>
  <si>
    <t>PC MR VP</t>
  </si>
  <si>
    <t>lns</t>
  </si>
  <si>
    <t>wm</t>
  </si>
  <si>
    <t>BD PC VP</t>
  </si>
  <si>
    <t>fw</t>
  </si>
  <si>
    <t>total</t>
  </si>
  <si>
    <t>BD MR PC</t>
  </si>
  <si>
    <t>comp</t>
  </si>
  <si>
    <t>v combo</t>
  </si>
  <si>
    <t>p combo</t>
  </si>
  <si>
    <t>cd or ss</t>
  </si>
  <si>
    <t>ca</t>
  </si>
  <si>
    <t>pcm</t>
  </si>
  <si>
    <t>Sums of Scaled Scores</t>
  </si>
  <si>
    <t>*16 - 69 only</t>
  </si>
  <si>
    <t>Process Scores</t>
  </si>
  <si>
    <t>Block Design No Time Bonus</t>
  </si>
  <si>
    <t>Digit Span Forward</t>
  </si>
  <si>
    <t>Digit Span Backward</t>
  </si>
  <si>
    <t>Digit Span Sequencing</t>
  </si>
  <si>
    <t>Longest Digit Forward (raw score)</t>
  </si>
  <si>
    <t>Longest Digit Backward (raw score)</t>
  </si>
  <si>
    <t>Longest Digit Sequencing (raw score)</t>
  </si>
  <si>
    <t>Longest Letter-Number (raw score)</t>
  </si>
  <si>
    <t>WAIS-IV Interpretive Worksheet</t>
  </si>
  <si>
    <t>Evaluate the Full Scale IQ</t>
  </si>
  <si>
    <t>i</t>
  </si>
  <si>
    <t>vp</t>
  </si>
  <si>
    <t>Obtained</t>
  </si>
  <si>
    <t>Percentile</t>
  </si>
  <si>
    <t>Confidence</t>
  </si>
  <si>
    <t>Narrative Category</t>
  </si>
  <si>
    <t>c</t>
  </si>
  <si>
    <t xml:space="preserve">  SS Totals</t>
  </si>
  <si>
    <t xml:space="preserve"> IQ</t>
  </si>
  <si>
    <t>Rank</t>
  </si>
  <si>
    <t>Bands</t>
  </si>
  <si>
    <t>Verbal Comprehension</t>
  </si>
  <si>
    <t>Perceptual Reasoning</t>
  </si>
  <si>
    <t>Working Memory</t>
  </si>
  <si>
    <t>Vx=</t>
  </si>
  <si>
    <t>Px=</t>
  </si>
  <si>
    <t>FSx=</t>
  </si>
  <si>
    <t>vp diff</t>
  </si>
  <si>
    <t>Processing Speed</t>
  </si>
  <si>
    <t>v max</t>
  </si>
  <si>
    <t>p max</t>
  </si>
  <si>
    <t xml:space="preserve"> Full Scale</t>
  </si>
  <si>
    <t>v min</t>
  </si>
  <si>
    <t>p min</t>
  </si>
  <si>
    <t>diff</t>
  </si>
  <si>
    <t>fs sc diff</t>
  </si>
  <si>
    <t>v scat</t>
  </si>
  <si>
    <t>p scat</t>
  </si>
  <si>
    <t>11fs scat</t>
  </si>
  <si>
    <t>Is the VCI versus PRI Significantly Different?                                     Note: See Table B.1 for standardization frequency</t>
  </si>
  <si>
    <t>1213fs scat</t>
  </si>
  <si>
    <t>14fs scat</t>
  </si>
  <si>
    <t>Significance</t>
  </si>
  <si>
    <t>Is there a significant difference?</t>
  </si>
  <si>
    <t>(p &lt;  .01)</t>
  </si>
  <si>
    <t>(p &lt; .05)</t>
  </si>
  <si>
    <t>none</t>
  </si>
  <si>
    <t>12 or more</t>
  </si>
  <si>
    <t>0 - 8</t>
  </si>
  <si>
    <t>Because there is no significant differences between the VCI and PRI, explain the meaning of the scales not being significantly different.</t>
  </si>
  <si>
    <t>Because there is a significant difference between the VCI and PRI, interpret the FSIQ with caution.  Examine further steps.</t>
  </si>
  <si>
    <t>Is the VCI versus PRI Difference Abnormally Large?                         Note: See Table B.2 for standardization frequency</t>
  </si>
  <si>
    <t>Size of Difference needed for abnormality</t>
  </si>
  <si>
    <t>Is Size of Difference Abnormal?</t>
  </si>
  <si>
    <t>IQ group</t>
  </si>
  <si>
    <t>Because no abnormal differences are found, determine if the noted differences are interpretable.</t>
  </si>
  <si>
    <t>Because an abnormal difference was found, explain the abnormally large VCI vs PRI difference.</t>
  </si>
  <si>
    <t>Are the VCI and PRI composites interpretable?                               Note: See Table B.6 for standardization frequency</t>
  </si>
  <si>
    <t>A. Is there abnormal VCI scatter?</t>
  </si>
  <si>
    <t>Is there abnormal scatter?</t>
  </si>
  <si>
    <t>Verbal Subtests High-Low Difference</t>
  </si>
  <si>
    <t>Normal</t>
  </si>
  <si>
    <t>Abnormal</t>
  </si>
  <si>
    <t>0 - 5</t>
  </si>
  <si>
    <t>6 or more</t>
  </si>
  <si>
    <t>B. Is there abnormal PRI scatter?</t>
  </si>
  <si>
    <t>Perceptual Reasoning Subtests High-Low Difference</t>
  </si>
  <si>
    <t xml:space="preserve">Because each answers to A and B was NO, the VCI versus PRI discrepancy is interpretable. </t>
  </si>
  <si>
    <t xml:space="preserve">Because an answer to either A or B was YES, the VCI versus PRI discrepancy differences should probably not be interpreted. </t>
  </si>
  <si>
    <t>Determine if the Working Memory Index is interpretable.                 Note: See Table B.4 for standardization frequency</t>
  </si>
  <si>
    <t>A. Is there a significant difference between the WMI subtests?</t>
  </si>
  <si>
    <t>0 - 3</t>
  </si>
  <si>
    <t>4 or more</t>
  </si>
  <si>
    <t>Determine if the Processing Speed Index is interpretable.                 Note: See Table B.4 for standardization frequency</t>
  </si>
  <si>
    <t>A. Is there a significant difference between the PSI subtests?</t>
  </si>
  <si>
    <t>core mean</t>
  </si>
  <si>
    <t>Interpret significant strengths and weaknesses.</t>
  </si>
  <si>
    <t>Verbal Comprehension mean</t>
  </si>
  <si>
    <t>Perceptual Reasoning mean</t>
  </si>
  <si>
    <t>Full Scale mean</t>
  </si>
  <si>
    <t xml:space="preserve"> Verbal / Perceptual  Statistics</t>
  </si>
  <si>
    <t>Full Scale Statistics</t>
  </si>
  <si>
    <t>Crit. Value</t>
  </si>
  <si>
    <t>Deviation</t>
  </si>
  <si>
    <t>&gt;CR</t>
  </si>
  <si>
    <t>sign</t>
  </si>
  <si>
    <t>&gt;CV</t>
  </si>
  <si>
    <t>.05 15</t>
  </si>
  <si>
    <t>Verbal</t>
  </si>
  <si>
    <t>Similarities</t>
  </si>
  <si>
    <t>Block Design</t>
  </si>
  <si>
    <t>Vocabulary</t>
  </si>
  <si>
    <t>Information</t>
  </si>
  <si>
    <t>Digit Span</t>
  </si>
  <si>
    <t>Comprehension</t>
  </si>
  <si>
    <t>Matrix Reasoning</t>
  </si>
  <si>
    <t>Arithmetic</t>
  </si>
  <si>
    <t>Perceptual</t>
  </si>
  <si>
    <t>Symbols Search</t>
  </si>
  <si>
    <t>Visual Puzzles</t>
  </si>
  <si>
    <t>Figure Weights</t>
  </si>
  <si>
    <t>Picture Completion</t>
  </si>
  <si>
    <t>Coding</t>
  </si>
  <si>
    <t>Letter-Number Sequence</t>
  </si>
  <si>
    <t>Cancellation</t>
  </si>
  <si>
    <t>Pr.  Spd.</t>
  </si>
  <si>
    <t>Symbol Search</t>
  </si>
  <si>
    <t xml:space="preserve">  I</t>
  </si>
  <si>
    <t>Ds</t>
  </si>
  <si>
    <t>V</t>
  </si>
  <si>
    <t>A</t>
  </si>
  <si>
    <t>C</t>
  </si>
  <si>
    <t>S</t>
  </si>
  <si>
    <t xml:space="preserve"> PC</t>
  </si>
  <si>
    <t xml:space="preserve"> PA</t>
  </si>
  <si>
    <t xml:space="preserve"> BD</t>
  </si>
  <si>
    <t xml:space="preserve"> OA</t>
  </si>
  <si>
    <t>Dsm</t>
  </si>
  <si>
    <t>Compare relevant subtest groupings (.05 level of significance)</t>
  </si>
  <si>
    <t>mr/bd</t>
  </si>
  <si>
    <t>mr/fw</t>
  </si>
  <si>
    <t>BD/VP</t>
  </si>
  <si>
    <t>i/c</t>
  </si>
  <si>
    <t>ds/a</t>
  </si>
  <si>
    <t>DS/lns</t>
  </si>
  <si>
    <t>a/lns</t>
  </si>
  <si>
    <t>cd/ss</t>
  </si>
  <si>
    <t>cd/ca</t>
  </si>
  <si>
    <t>Process comparisons (.05 level of significance)</t>
  </si>
  <si>
    <t>bd/bdnt</t>
  </si>
  <si>
    <t>dsf/dsb</t>
  </si>
  <si>
    <t>dsf/dss</t>
  </si>
  <si>
    <t>dsb/dss</t>
  </si>
  <si>
    <t>ldf/ldb</t>
  </si>
  <si>
    <t>ldf/lds</t>
  </si>
  <si>
    <t>ldb/lds</t>
  </si>
  <si>
    <t>Examine "Ways to Sort" Tab</t>
  </si>
  <si>
    <t>WAIS-IV Subtests and Proposed Broad and Narrow Abilities and Cultural and Linguistic Demands</t>
  </si>
  <si>
    <t>Linguistic Demand</t>
  </si>
  <si>
    <t>Cultural Loading</t>
  </si>
  <si>
    <t>Broad Abilities</t>
  </si>
  <si>
    <t>Narrow Abilities</t>
  </si>
  <si>
    <t>Gc</t>
  </si>
  <si>
    <t>Language Development</t>
  </si>
  <si>
    <t>high</t>
  </si>
  <si>
    <t>Lexical Knowledge</t>
  </si>
  <si>
    <t>General Information</t>
  </si>
  <si>
    <t>Gv</t>
  </si>
  <si>
    <t>Spatial Relations</t>
  </si>
  <si>
    <t>moderate</t>
  </si>
  <si>
    <t>low</t>
  </si>
  <si>
    <t>Visualization</t>
  </si>
  <si>
    <t>Gf</t>
  </si>
  <si>
    <t>Induction</t>
  </si>
  <si>
    <t>Vizualization</t>
  </si>
  <si>
    <t>Quantitative Reasoning</t>
  </si>
  <si>
    <t>Flexibility of Closure</t>
  </si>
  <si>
    <t>Gsm</t>
  </si>
  <si>
    <t>Memory Span</t>
  </si>
  <si>
    <t>Gq</t>
  </si>
  <si>
    <t>Math Achievement</t>
  </si>
  <si>
    <t>Gs</t>
  </si>
  <si>
    <t>Perceptual Speed</t>
  </si>
  <si>
    <t>Rate of test taking</t>
  </si>
  <si>
    <t>Adapted from Appendix A, pp. 445 – 453, The Intelligence Test Desk Reference (ITDR): Gf-Gc Cross-Battery Assessment (McGrew &amp; Flanagan, 1998) and Table 8.3, p. 312, The Wechsler Intelligence Scales and Gf-Gc Theory (Flanagan, McGrew &amp; Ortiz, 2000)</t>
  </si>
  <si>
    <t>GAI and Dumont-Willis Index-2</t>
  </si>
  <si>
    <t>GAI (VCI + PRI) =</t>
  </si>
  <si>
    <t>DWI-2 (WMI + PSI) =</t>
  </si>
  <si>
    <t xml:space="preserve">The General Ability Index (GAI) is computed from the sum of scaled scores for the VCI and PRI subtests.  Unlike the DWI-2 tables, the GAI tables are based directly on the WAIS-IV normative data.  </t>
  </si>
  <si>
    <t>The Dumont-Willis DWI-2 Index is based on the sum of scaled scores for the Digit Span and Arithmetic (WMI) and Symbol Search and Coding (PSI) subtests.   It should be computed and considered only when the four WMI and PSI subtest scores are close to one another and substantially separate from the VCI and PRI subtests.  In those cases, the GAI and DWI-2 scores may be an efficient alternative means of summarizing the 10 WAIS-IV core subtests, but they must never be confused with normative WAIS-IV factor and IQ scores.</t>
  </si>
  <si>
    <t>Oral / Verbal</t>
  </si>
  <si>
    <t>Pictures / Puzzles / Paper</t>
  </si>
  <si>
    <t>Higher Level Thinking     DWI-1</t>
  </si>
  <si>
    <t>Processing   DWI-2</t>
  </si>
  <si>
    <t>DS Forward</t>
  </si>
  <si>
    <t>DS Backward</t>
  </si>
  <si>
    <t>DS Sequencing</t>
  </si>
  <si>
    <t>Substitution possibilities:</t>
  </si>
  <si>
    <t>CO,VC,IN</t>
  </si>
  <si>
    <t>SI,CO,IN</t>
  </si>
  <si>
    <t>SI,VC,CO</t>
  </si>
  <si>
    <t>FW,MR,VP</t>
  </si>
  <si>
    <t>Digit Span-Forward</t>
  </si>
  <si>
    <t>BD,FW,VP</t>
  </si>
  <si>
    <t>Digit Span-Backward</t>
  </si>
  <si>
    <t>BD,MR,FW</t>
  </si>
  <si>
    <t>Digit Span-Sequencing</t>
  </si>
  <si>
    <t>PC,MR,VP</t>
  </si>
  <si>
    <t>BD,PC,VP</t>
  </si>
  <si>
    <t>BD,MR,PC</t>
  </si>
  <si>
    <t>LN,AR</t>
  </si>
  <si>
    <t>DS,LN</t>
  </si>
  <si>
    <t>CA,CD</t>
  </si>
  <si>
    <t>SS,CA</t>
  </si>
  <si>
    <t>Aud. Mem.</t>
  </si>
  <si>
    <t>Rep.</t>
  </si>
  <si>
    <t>%ile</t>
  </si>
  <si>
    <t>%</t>
  </si>
  <si>
    <t>Pss</t>
  </si>
  <si>
    <t>Fss</t>
  </si>
  <si>
    <t>FIQ</t>
  </si>
  <si>
    <t>ExtLow</t>
  </si>
  <si>
    <t>BL</t>
  </si>
  <si>
    <t>LA</t>
  </si>
  <si>
    <t>AVE</t>
  </si>
  <si>
    <t>HAVE</t>
  </si>
  <si>
    <t>SUP</t>
  </si>
  <si>
    <t>VSUP</t>
  </si>
  <si>
    <t>Scatter</t>
  </si>
  <si>
    <t>v6 scat%</t>
  </si>
  <si>
    <t>v7 scat%</t>
  </si>
  <si>
    <t>p5 Scat%</t>
  </si>
  <si>
    <t>p7 Scat%</t>
  </si>
  <si>
    <t>IQ 11 scat Scat%</t>
  </si>
  <si>
    <t>IQ 13 scat Scat%</t>
  </si>
  <si>
    <t>IQ 14 scat Scat%</t>
  </si>
  <si>
    <t>Pairs</t>
  </si>
  <si>
    <t>free rc</t>
  </si>
  <si>
    <t>copy</t>
  </si>
  <si>
    <t>Extremely Low</t>
  </si>
  <si>
    <t>Borderline</t>
  </si>
  <si>
    <t>Low Average</t>
  </si>
  <si>
    <t>Average</t>
  </si>
  <si>
    <t>High Average</t>
  </si>
  <si>
    <t>Superior</t>
  </si>
  <si>
    <t>Very Superior</t>
  </si>
  <si>
    <t>vsc</t>
  </si>
  <si>
    <t>vconf-</t>
  </si>
  <si>
    <t>vconf+</t>
  </si>
  <si>
    <t>psc</t>
  </si>
  <si>
    <t>pconf-</t>
  </si>
  <si>
    <t>pconf+</t>
  </si>
  <si>
    <t>fssc</t>
  </si>
  <si>
    <t>fsconf-</t>
  </si>
  <si>
    <t>fsconf+</t>
  </si>
  <si>
    <t>GLC</t>
  </si>
  <si>
    <t>wmi-</t>
  </si>
  <si>
    <t>wmi+</t>
  </si>
  <si>
    <t>pssc</t>
  </si>
  <si>
    <t>psconf-</t>
  </si>
  <si>
    <t>psconf+</t>
  </si>
  <si>
    <t xml:space="preserve">      The following uses separate Verbal and Perceptual values unless you specify the Full Scale by typing "F" here:</t>
  </si>
  <si>
    <t>I</t>
  </si>
  <si>
    <t>BD</t>
  </si>
  <si>
    <t>MR</t>
  </si>
  <si>
    <t>FW</t>
  </si>
  <si>
    <t>PCmp</t>
  </si>
  <si>
    <t>Ln</t>
  </si>
  <si>
    <t>Cd</t>
  </si>
  <si>
    <t>CA</t>
  </si>
  <si>
    <t>Deviation from mean:</t>
  </si>
  <si>
    <t>Strength or Weakness:</t>
  </si>
  <si>
    <t>Positive or Negative:</t>
  </si>
  <si>
    <t>INPUT</t>
  </si>
  <si>
    <t>Attention-Concentration</t>
  </si>
  <si>
    <t>Auditory-Vocal Channel</t>
  </si>
  <si>
    <t>Complex Verbal Directions</t>
  </si>
  <si>
    <t>Essential from Non Essential</t>
  </si>
  <si>
    <t>Encoding Information for Processing</t>
  </si>
  <si>
    <t>Understanding Long Questions</t>
  </si>
  <si>
    <t>Understanding Words</t>
  </si>
  <si>
    <t>Visual Motor Channel</t>
  </si>
  <si>
    <t>Visual Perception-Abstr. Stim.</t>
  </si>
  <si>
    <t>Visual Perception-Cmpl. Mean. Stim.</t>
  </si>
  <si>
    <t>INTEGRATION/STORAGE</t>
  </si>
  <si>
    <t>Achievement</t>
  </si>
  <si>
    <t>Acquired Knowledge</t>
  </si>
  <si>
    <t>Concept Formation</t>
  </si>
  <si>
    <t>Crystallized Intelligence</t>
  </si>
  <si>
    <t>Culture Loaded Knowledge</t>
  </si>
  <si>
    <t>Facility with Numbers</t>
  </si>
  <si>
    <t>Fluid Intelligence</t>
  </si>
  <si>
    <t>Fund of Information</t>
  </si>
  <si>
    <t>Memory</t>
  </si>
  <si>
    <t>Nonverbal Reasoning</t>
  </si>
  <si>
    <t>Planning Ability</t>
  </si>
  <si>
    <t>Sequencing</t>
  </si>
  <si>
    <t>Verbal Reasoning</t>
  </si>
  <si>
    <t>Visual Memory</t>
  </si>
  <si>
    <t>Visual Processing</t>
  </si>
  <si>
    <t>Visual Sequencing</t>
  </si>
  <si>
    <t>OUTPUT</t>
  </si>
  <si>
    <t>Much Verbal Expression</t>
  </si>
  <si>
    <t>Simple Verbal expression</t>
  </si>
  <si>
    <t>Visual Organization</t>
  </si>
  <si>
    <t>Visual-Motor Coordination</t>
  </si>
  <si>
    <t>WAIS-IV Gf-Gc Classifications?</t>
  </si>
  <si>
    <t xml:space="preserve">CRYSTALLIZED INTELLIGENCE (Gc) is the breadth and depth of a person’s acquired knowledge of a culture and the effective application of this knowledge. </t>
  </si>
  <si>
    <t>Subtest</t>
  </si>
  <si>
    <t>Score</t>
  </si>
  <si>
    <t>Narrow Ability</t>
  </si>
  <si>
    <r>
      <t>(</t>
    </r>
    <r>
      <rPr>
        <sz val="9"/>
        <rFont val="Times New Roman"/>
        <family val="1"/>
      </rPr>
      <t>Language Development</t>
    </r>
    <r>
      <rPr>
        <sz val="11"/>
        <rFont val="Times New Roman"/>
        <family val="1"/>
      </rPr>
      <t>)</t>
    </r>
  </si>
  <si>
    <r>
      <t>(</t>
    </r>
    <r>
      <rPr>
        <sz val="9"/>
        <rFont val="Times New Roman"/>
        <family val="1"/>
      </rPr>
      <t>General (Verbal) Information</t>
    </r>
    <r>
      <rPr>
        <sz val="11"/>
        <rFont val="Times New Roman"/>
        <family val="1"/>
      </rPr>
      <t>)</t>
    </r>
  </si>
  <si>
    <r>
      <t>(</t>
    </r>
    <r>
      <rPr>
        <sz val="9"/>
        <rFont val="Times New Roman"/>
        <family val="1"/>
      </rPr>
      <t>Lexical Knowledge</t>
    </r>
    <r>
      <rPr>
        <sz val="11"/>
        <rFont val="Times New Roman"/>
        <family val="1"/>
      </rPr>
      <t>)</t>
    </r>
  </si>
  <si>
    <t xml:space="preserve">VISUAL PROCESSING (Gv) is the ability to generate, perceive, analyze, synthesize, manipulate, transform, and think with visual patterns and stimuli. </t>
  </si>
  <si>
    <r>
      <t>(</t>
    </r>
    <r>
      <rPr>
        <sz val="9"/>
        <rFont val="Times New Roman"/>
        <family val="1"/>
      </rPr>
      <t>Spatial Relations</t>
    </r>
    <r>
      <rPr>
        <sz val="11"/>
        <rFont val="Times New Roman"/>
        <family val="1"/>
      </rPr>
      <t>)</t>
    </r>
  </si>
  <si>
    <r>
      <t>(</t>
    </r>
    <r>
      <rPr>
        <sz val="9"/>
        <rFont val="Times New Roman"/>
        <family val="1"/>
      </rPr>
      <t>Visualization</t>
    </r>
    <r>
      <rPr>
        <sz val="11"/>
        <rFont val="Times New Roman"/>
        <family val="1"/>
      </rPr>
      <t>)</t>
    </r>
  </si>
  <si>
    <r>
      <t>(</t>
    </r>
    <r>
      <rPr>
        <sz val="9"/>
        <rFont val="Times New Roman"/>
        <family val="1"/>
      </rPr>
      <t>Flexibility of Closure, General (Verbal) Information</t>
    </r>
    <r>
      <rPr>
        <sz val="11"/>
        <rFont val="Times New Roman"/>
        <family val="1"/>
      </rPr>
      <t>)</t>
    </r>
  </si>
  <si>
    <t>SHORT-TERM MEMORY (Gsm) is the ability to apprehend and hold information in immediate awareness and then use it within a few seconds.</t>
  </si>
  <si>
    <t xml:space="preserve">Digit Span Forward </t>
  </si>
  <si>
    <r>
      <t>(</t>
    </r>
    <r>
      <rPr>
        <sz val="9"/>
        <rFont val="Times New Roman"/>
        <family val="1"/>
      </rPr>
      <t>Memory Span</t>
    </r>
    <r>
      <rPr>
        <sz val="11"/>
        <rFont val="Times New Roman"/>
        <family val="1"/>
      </rPr>
      <t>)</t>
    </r>
  </si>
  <si>
    <r>
      <t>(</t>
    </r>
    <r>
      <rPr>
        <sz val="9"/>
        <rFont val="Times New Roman"/>
        <family val="1"/>
      </rPr>
      <t>Working Memory</t>
    </r>
    <r>
      <rPr>
        <sz val="11"/>
        <rFont val="Times New Roman"/>
        <family val="1"/>
      </rPr>
      <t>)</t>
    </r>
  </si>
  <si>
    <t>Letter-Number Sequencing</t>
  </si>
  <si>
    <t>PROCESSING SPEED (Gs) is the ability to perform cognitive tasks fluently and automatically, especially when under pressure to maintain focused attention and concentration.</t>
  </si>
  <si>
    <r>
      <t>(</t>
    </r>
    <r>
      <rPr>
        <sz val="9"/>
        <rFont val="Times New Roman"/>
        <family val="1"/>
      </rPr>
      <t>Perceptual Speed</t>
    </r>
    <r>
      <rPr>
        <sz val="11"/>
        <rFont val="Times New Roman"/>
        <family val="1"/>
      </rPr>
      <t>)</t>
    </r>
  </si>
  <si>
    <r>
      <t>(</t>
    </r>
    <r>
      <rPr>
        <sz val="9"/>
        <rFont val="Times New Roman"/>
        <family val="1"/>
      </rPr>
      <t>Rate-of-Test-Taking</t>
    </r>
    <r>
      <rPr>
        <sz val="11"/>
        <rFont val="Times New Roman"/>
        <family val="1"/>
      </rPr>
      <t>)</t>
    </r>
  </si>
  <si>
    <t xml:space="preserve">FLUID INTELLIGENCE (Gf) is the ability to use and engage in various mental operations when faced with a relatively novel task that cannot be performed automatically. </t>
  </si>
  <si>
    <r>
      <t>(</t>
    </r>
    <r>
      <rPr>
        <sz val="9"/>
        <rFont val="Times New Roman"/>
        <family val="1"/>
      </rPr>
      <t>Inductive Reasoning</t>
    </r>
    <r>
      <rPr>
        <sz val="11"/>
        <rFont val="Times New Roman"/>
        <family val="1"/>
      </rPr>
      <t>)</t>
    </r>
  </si>
  <si>
    <r>
      <t>(</t>
    </r>
    <r>
      <rPr>
        <sz val="9"/>
        <rFont val="Times New Roman"/>
        <family val="1"/>
      </rPr>
      <t>Quantitative Reasoning</t>
    </r>
    <r>
      <rPr>
        <sz val="11"/>
        <rFont val="Times New Roman"/>
        <family val="1"/>
      </rPr>
      <t>)</t>
    </r>
  </si>
  <si>
    <t xml:space="preserve">QUANTITATIVE KNOWLEDGE (Gq) represents an individual’s store of acquired quantitative declarative and procedural knowledge.  It involves the ability to use quantitative information and manipulate numeric symbols. </t>
  </si>
  <si>
    <r>
      <t>(</t>
    </r>
    <r>
      <rPr>
        <sz val="9"/>
        <rFont val="Times New Roman"/>
        <family val="1"/>
      </rPr>
      <t>Math Achievement</t>
    </r>
    <r>
      <rPr>
        <sz val="11"/>
        <rFont val="Times New Roman"/>
        <family val="1"/>
      </rPr>
      <t>)</t>
    </r>
  </si>
  <si>
    <t>Possible Ways of Sorting Out WAIS-IV Scores</t>
  </si>
  <si>
    <t>FSIQ</t>
  </si>
  <si>
    <t>SI</t>
  </si>
  <si>
    <t>VC</t>
  </si>
  <si>
    <t>IN</t>
  </si>
  <si>
    <t>(CO)</t>
  </si>
  <si>
    <t xml:space="preserve">VP </t>
  </si>
  <si>
    <t>(FW)</t>
  </si>
  <si>
    <t>(PCm)</t>
  </si>
  <si>
    <t>DS</t>
  </si>
  <si>
    <t>AR</t>
  </si>
  <si>
    <t>(LN)</t>
  </si>
  <si>
    <t>CD</t>
  </si>
  <si>
    <t>(CA)</t>
  </si>
  <si>
    <t>Full Scale Intelligence Quotient</t>
  </si>
  <si>
    <t>MAJOR SCALES</t>
  </si>
  <si>
    <t>LN</t>
  </si>
  <si>
    <t>Nonverbal/Perceptual</t>
  </si>
  <si>
    <t>GAI / DWI SCORES</t>
  </si>
  <si>
    <t>GAI: Emphasizing verbal and nonverbal thinking</t>
  </si>
  <si>
    <t>DWI-2: Emphasizing short-term memory and processing speed</t>
  </si>
  <si>
    <t>INDICES</t>
  </si>
  <si>
    <t xml:space="preserve">      Perceptual Reasoning </t>
  </si>
  <si>
    <t>GROUPS TO BE CONTEMPLATED IN GENERATING HYPOTHESES</t>
  </si>
  <si>
    <t xml:space="preserve">IN </t>
  </si>
  <si>
    <t>CO</t>
  </si>
  <si>
    <t>[VC?]</t>
  </si>
  <si>
    <t>PCm</t>
  </si>
  <si>
    <t>Subtests emphasizing word meanings</t>
  </si>
  <si>
    <t>Subtests emphasizing factual knowledge</t>
  </si>
  <si>
    <t>Subtests emphasizing school-acquired knowledge</t>
  </si>
  <si>
    <t>Subtests with pictorial stimuli</t>
  </si>
  <si>
    <t>Subtests with abstract designs</t>
  </si>
  <si>
    <t>Subtests emphasizing reasoning over knowledge</t>
  </si>
  <si>
    <t>Subtests emphasizing knowledge over reasoning</t>
  </si>
  <si>
    <t xml:space="preserve">Subtests with relatively short questions      </t>
  </si>
  <si>
    <t>Subtests with relatively long questions</t>
  </si>
  <si>
    <t>Subtests emphasizing reasoning</t>
  </si>
  <si>
    <t>DS F</t>
  </si>
  <si>
    <t>DS B</t>
  </si>
  <si>
    <t>DS S</t>
  </si>
  <si>
    <t>[AR?]</t>
  </si>
  <si>
    <t>Subtests with relatively short answers</t>
  </si>
  <si>
    <t>Subtests with relatively long answers</t>
  </si>
  <si>
    <t>Vigilance</t>
  </si>
  <si>
    <t>BDN</t>
  </si>
  <si>
    <t>Speed bonus</t>
  </si>
  <si>
    <t>No time limits</t>
  </si>
  <si>
    <t>Time limits</t>
  </si>
  <si>
    <t>BD vs BND</t>
  </si>
  <si>
    <t>DS F vs DS B</t>
  </si>
  <si>
    <t>DS F vs DS S</t>
  </si>
  <si>
    <t>DS B vs DS S</t>
  </si>
  <si>
    <t>Process Comparisons</t>
  </si>
  <si>
    <t>WAIS-IV Cultural / Linguistic Matrix</t>
  </si>
  <si>
    <t>Degree of Linguistic Demands</t>
  </si>
  <si>
    <t>High</t>
  </si>
  <si>
    <t>Moderate</t>
  </si>
  <si>
    <t>Low</t>
  </si>
  <si>
    <t>Level Cultural Loading</t>
  </si>
  <si>
    <t>High Cultural</t>
  </si>
  <si>
    <t>Average:</t>
  </si>
  <si>
    <t>Standard Score:</t>
  </si>
  <si>
    <t>Moderate Cultural</t>
  </si>
  <si>
    <t>Low Cultural</t>
  </si>
  <si>
    <t>High Linguistic</t>
  </si>
  <si>
    <t>Moderate Linguistic</t>
  </si>
  <si>
    <t>Low Linguistic</t>
  </si>
  <si>
    <r>
      <t xml:space="preserve">Adapted from Dawn Flanagan, Samuel Ortiz, and Vincent Alfonso's </t>
    </r>
    <r>
      <rPr>
        <i/>
        <sz val="8"/>
        <rFont val="Arial"/>
        <family val="2"/>
      </rPr>
      <t>Essentials of Cross-Battery Assessment</t>
    </r>
    <r>
      <rPr>
        <sz val="8"/>
        <rFont val="Arial"/>
        <family val="2"/>
      </rPr>
      <t xml:space="preserve"> (Wiley, 2007) Append 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</si>
</sst>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7">
    <font>
      <sz val="9"/>
      <name val="Geneva"/>
    </font>
    <font>
      <sz val="10"/>
      <name val="Geneva"/>
    </font>
    <font>
      <b/>
      <sz val="8"/>
      <name val="Geneva"/>
    </font>
    <font>
      <sz val="8"/>
      <name val="Geneva"/>
    </font>
    <font>
      <sz val="8"/>
      <color indexed="8"/>
      <name val="Geneva"/>
    </font>
    <font>
      <b/>
      <i/>
      <sz val="8"/>
      <name val="Geneva"/>
    </font>
    <font>
      <b/>
      <sz val="8"/>
      <color indexed="10"/>
      <name val="Geneva"/>
    </font>
    <font>
      <sz val="8"/>
      <name val="Arial"/>
      <family val="2"/>
    </font>
    <font>
      <b/>
      <sz val="8"/>
      <color indexed="9"/>
      <name val="Geneva"/>
    </font>
    <font>
      <b/>
      <sz val="8"/>
      <name val="Arial"/>
      <family val="2"/>
    </font>
    <font>
      <i/>
      <sz val="8"/>
      <name val="Arial"/>
      <family val="2"/>
    </font>
    <font>
      <b/>
      <sz val="8"/>
      <color indexed="57"/>
      <name val="Geneva"/>
    </font>
    <font>
      <sz val="8"/>
      <color indexed="57"/>
      <name val="Geneva"/>
    </font>
    <font>
      <sz val="8"/>
      <color indexed="9"/>
      <name val="Geneva"/>
    </font>
    <font>
      <sz val="9"/>
      <color indexed="9"/>
      <name val="Geneva"/>
    </font>
    <font>
      <b/>
      <u/>
      <sz val="8"/>
      <name val="Arial"/>
      <family val="2"/>
    </font>
    <font>
      <sz val="10"/>
      <name val="Arial"/>
      <family val="2"/>
    </font>
    <font>
      <b/>
      <sz val="10"/>
      <name val="Arial"/>
      <family val="2"/>
    </font>
    <font>
      <sz val="8"/>
      <color indexed="10"/>
      <name val="Geneva"/>
    </font>
    <font>
      <b/>
      <sz val="9"/>
      <color indexed="9"/>
      <name val="Geneva"/>
    </font>
    <font>
      <sz val="9"/>
      <name val="Arial"/>
      <family val="2"/>
    </font>
    <font>
      <sz val="8"/>
      <color indexed="10"/>
      <name val="Arial"/>
      <family val="2"/>
    </font>
    <font>
      <i/>
      <sz val="8"/>
      <color indexed="10"/>
      <name val="Arial"/>
      <family val="2"/>
    </font>
    <font>
      <sz val="8"/>
      <color indexed="49"/>
      <name val="Arial"/>
      <family val="2"/>
    </font>
    <font>
      <sz val="9"/>
      <name val="Calibri"/>
      <family val="2"/>
    </font>
    <font>
      <i/>
      <sz val="8"/>
      <name val="Geneva"/>
    </font>
    <font>
      <b/>
      <sz val="11"/>
      <name val="Times New Roman"/>
      <family val="1"/>
    </font>
    <font>
      <sz val="11"/>
      <name val="Times New Roman"/>
      <family val="1"/>
    </font>
    <font>
      <sz val="9"/>
      <name val="Times New Roman"/>
      <family val="1"/>
    </font>
    <font>
      <sz val="10"/>
      <color indexed="63"/>
      <name val="Arial"/>
      <family val="2"/>
    </font>
    <font>
      <sz val="8"/>
      <color indexed="49"/>
      <name val="Geneva"/>
    </font>
    <font>
      <sz val="9"/>
      <color indexed="49"/>
      <name val="Geneva"/>
    </font>
    <font>
      <b/>
      <sz val="8"/>
      <color indexed="49"/>
      <name val="Geneva"/>
    </font>
    <font>
      <sz val="8"/>
      <color indexed="10"/>
      <name val="Geneva"/>
    </font>
    <font>
      <sz val="9"/>
      <color indexed="63"/>
      <name val="Geneva"/>
    </font>
    <font>
      <sz val="9"/>
      <color indexed="9"/>
      <name val="Geneva"/>
    </font>
    <font>
      <sz val="8"/>
      <color indexed="63"/>
      <name val="Arial"/>
      <family val="2"/>
    </font>
    <font>
      <sz val="8"/>
      <color indexed="9"/>
      <name val="Arial"/>
      <family val="2"/>
    </font>
    <font>
      <sz val="10"/>
      <color indexed="63"/>
      <name val="Geneva"/>
    </font>
    <font>
      <b/>
      <sz val="8"/>
      <color indexed="63"/>
      <name val="Arial"/>
      <family val="2"/>
    </font>
    <font>
      <b/>
      <sz val="8"/>
      <color indexed="63"/>
      <name val="Geneva"/>
    </font>
    <font>
      <sz val="8"/>
      <color indexed="63"/>
      <name val="Geneva"/>
    </font>
    <font>
      <b/>
      <sz val="10"/>
      <color indexed="9"/>
      <name val="Arial"/>
      <family val="2"/>
    </font>
    <font>
      <sz val="8"/>
      <color indexed="9"/>
      <name val="Geneva"/>
    </font>
    <font>
      <i/>
      <sz val="8"/>
      <color indexed="9"/>
      <name val="Arial"/>
      <family val="2"/>
    </font>
    <font>
      <b/>
      <sz val="9"/>
      <color indexed="49"/>
      <name val="Geneva"/>
    </font>
    <font>
      <b/>
      <u/>
      <sz val="12"/>
      <color indexed="49"/>
      <name val="Geneva"/>
    </font>
    <font>
      <sz val="9"/>
      <color indexed="63"/>
      <name val="Arial"/>
      <family val="2"/>
    </font>
    <font>
      <b/>
      <sz val="10"/>
      <color indexed="63"/>
      <name val="Arial"/>
      <family val="2"/>
    </font>
    <font>
      <b/>
      <sz val="9"/>
      <color indexed="63"/>
      <name val="Arial"/>
      <family val="2"/>
    </font>
    <font>
      <b/>
      <u/>
      <sz val="8"/>
      <color indexed="49"/>
      <name val="Geneva"/>
    </font>
    <font>
      <b/>
      <sz val="8"/>
      <color indexed="49"/>
      <name val="Arial"/>
      <family val="2"/>
    </font>
    <font>
      <b/>
      <sz val="16"/>
      <color indexed="49"/>
      <name val="Arial"/>
      <family val="2"/>
    </font>
    <font>
      <b/>
      <sz val="14"/>
      <color indexed="49"/>
      <name val="Geneva"/>
    </font>
    <font>
      <sz val="14"/>
      <color indexed="9"/>
      <name val="Times New Roman"/>
      <family val="1"/>
    </font>
    <font>
      <b/>
      <sz val="13"/>
      <color indexed="9"/>
      <name val="Arial"/>
      <family val="2"/>
    </font>
    <font>
      <sz val="11"/>
      <color theme="1"/>
      <name val="Calibri"/>
      <family val="2"/>
      <scheme val="minor"/>
    </font>
  </fonts>
  <fills count="8">
    <fill>
      <patternFill patternType="none"/>
    </fill>
    <fill>
      <patternFill patternType="gray125"/>
    </fill>
    <fill>
      <patternFill patternType="solid">
        <fgColor indexed="9"/>
      </patternFill>
    </fill>
    <fill>
      <patternFill patternType="solid">
        <fgColor indexed="9"/>
        <bgColor indexed="15"/>
      </patternFill>
    </fill>
    <fill>
      <patternFill patternType="solid">
        <fgColor indexed="8"/>
        <bgColor indexed="64"/>
      </patternFill>
    </fill>
    <fill>
      <patternFill patternType="solid">
        <fgColor indexed="49"/>
        <bgColor indexed="64"/>
      </patternFill>
    </fill>
    <fill>
      <patternFill patternType="solid">
        <fgColor indexed="30"/>
        <bgColor indexed="64"/>
      </patternFill>
    </fill>
    <fill>
      <patternFill patternType="solid">
        <fgColor indexed="9"/>
        <bgColor indexed="64"/>
      </patternFill>
    </fill>
  </fills>
  <borders count="39">
    <border>
      <left/>
      <right/>
      <top/>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mediumDashed">
        <color indexed="30"/>
      </top>
      <bottom/>
      <diagonal/>
    </border>
    <border>
      <left/>
      <right/>
      <top/>
      <bottom style="mediumDashed">
        <color indexed="30"/>
      </bottom>
      <diagonal/>
    </border>
    <border>
      <left style="thin">
        <color indexed="64"/>
      </left>
      <right style="thin">
        <color indexed="64"/>
      </right>
      <top style="thin">
        <color indexed="64"/>
      </top>
      <bottom/>
      <diagonal/>
    </border>
    <border>
      <left style="medium">
        <color indexed="64"/>
      </left>
      <right/>
      <top/>
      <bottom/>
      <diagonal/>
    </border>
    <border>
      <left/>
      <right style="medium">
        <color indexed="64"/>
      </right>
      <top/>
      <bottom/>
      <diagonal/>
    </border>
    <border>
      <left style="mediumDashed">
        <color indexed="30"/>
      </left>
      <right/>
      <top style="mediumDashed">
        <color indexed="30"/>
      </top>
      <bottom/>
      <diagonal/>
    </border>
    <border>
      <left style="medium">
        <color indexed="64"/>
      </left>
      <right/>
      <top style="mediumDashed">
        <color indexed="30"/>
      </top>
      <bottom/>
      <diagonal/>
    </border>
    <border>
      <left/>
      <right style="medium">
        <color indexed="64"/>
      </right>
      <top style="mediumDashed">
        <color indexed="30"/>
      </top>
      <bottom/>
      <diagonal/>
    </border>
    <border>
      <left style="mediumDashed">
        <color indexed="30"/>
      </left>
      <right/>
      <top/>
      <bottom/>
      <diagonal/>
    </border>
    <border>
      <left style="mediumDashed">
        <color indexed="30"/>
      </left>
      <right/>
      <top/>
      <bottom style="mediumDashed">
        <color indexed="30"/>
      </bottom>
      <diagonal/>
    </border>
    <border>
      <left style="medium">
        <color indexed="64"/>
      </left>
      <right/>
      <top/>
      <bottom style="mediumDashed">
        <color indexed="30"/>
      </bottom>
      <diagonal/>
    </border>
    <border>
      <left/>
      <right style="medium">
        <color indexed="64"/>
      </right>
      <top/>
      <bottom style="mediumDashed">
        <color indexed="30"/>
      </bottom>
      <diagonal/>
    </border>
    <border>
      <left/>
      <right style="mediumDashed">
        <color indexed="30"/>
      </right>
      <top/>
      <bottom/>
      <diagonal/>
    </border>
    <border>
      <left/>
      <right style="thin">
        <color indexed="64"/>
      </right>
      <top style="thin">
        <color indexed="64"/>
      </top>
      <bottom style="thin">
        <color indexed="64"/>
      </bottom>
      <diagonal/>
    </border>
    <border>
      <left/>
      <right/>
      <top/>
      <bottom style="double">
        <color indexed="64"/>
      </bottom>
      <diagonal/>
    </border>
    <border>
      <left/>
      <right style="mediumDashed">
        <color indexed="30"/>
      </right>
      <top/>
      <bottom style="mediumDashed">
        <color indexed="30"/>
      </bottom>
      <diagonal/>
    </border>
    <border>
      <left/>
      <right style="mediumDashed">
        <color indexed="30"/>
      </right>
      <top style="mediumDashed">
        <color indexed="30"/>
      </top>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xf numFmtId="0" fontId="56" fillId="0" borderId="0"/>
    <xf numFmtId="0" fontId="16" fillId="0" borderId="0"/>
  </cellStyleXfs>
  <cellXfs count="387">
    <xf numFmtId="0" fontId="0" fillId="0" borderId="0" xfId="0"/>
    <xf numFmtId="0" fontId="3" fillId="0" borderId="0" xfId="0" applyFont="1"/>
    <xf numFmtId="0" fontId="3" fillId="0" borderId="0" xfId="0" applyFont="1" applyProtection="1">
      <protection hidden="1"/>
    </xf>
    <xf numFmtId="0" fontId="3" fillId="0" borderId="0" xfId="0" applyFont="1" applyAlignment="1" applyProtection="1">
      <alignment horizontal="left"/>
      <protection hidden="1"/>
    </xf>
    <xf numFmtId="0" fontId="3" fillId="0" borderId="0" xfId="0" applyFont="1" applyAlignment="1" applyProtection="1">
      <alignment horizontal="right"/>
      <protection hidden="1"/>
    </xf>
    <xf numFmtId="0" fontId="7" fillId="0" borderId="0" xfId="0" applyFont="1" applyProtection="1">
      <protection hidden="1"/>
    </xf>
    <xf numFmtId="0" fontId="9" fillId="0" borderId="0" xfId="0" applyFont="1" applyAlignment="1" applyProtection="1">
      <alignment horizontal="right" vertical="center"/>
      <protection hidden="1"/>
    </xf>
    <xf numFmtId="0" fontId="7" fillId="0" borderId="0" xfId="0" applyFont="1" applyAlignment="1" applyProtection="1">
      <alignment vertical="center"/>
      <protection hidden="1"/>
    </xf>
    <xf numFmtId="0" fontId="7" fillId="2" borderId="0" xfId="0" applyFont="1" applyFill="1" applyAlignment="1" applyProtection="1">
      <alignment horizontal="centerContinuous"/>
      <protection hidden="1"/>
    </xf>
    <xf numFmtId="0" fontId="3" fillId="2" borderId="0" xfId="0" applyFont="1" applyFill="1" applyProtection="1">
      <protection hidden="1"/>
    </xf>
    <xf numFmtId="0" fontId="7" fillId="2" borderId="0" xfId="0" applyFont="1" applyFill="1" applyProtection="1">
      <protection hidden="1"/>
    </xf>
    <xf numFmtId="0" fontId="7" fillId="2" borderId="0" xfId="0" applyFont="1" applyFill="1" applyAlignment="1" applyProtection="1">
      <alignment vertical="center"/>
      <protection hidden="1"/>
    </xf>
    <xf numFmtId="0" fontId="9" fillId="2" borderId="0" xfId="0" applyFont="1" applyFill="1" applyAlignment="1" applyProtection="1">
      <alignment horizontal="center" vertical="center"/>
      <protection hidden="1"/>
    </xf>
    <xf numFmtId="164" fontId="7" fillId="2" borderId="0" xfId="0" applyNumberFormat="1" applyFont="1" applyFill="1" applyAlignment="1" applyProtection="1">
      <alignment horizontal="left" vertical="center"/>
      <protection hidden="1"/>
    </xf>
    <xf numFmtId="14" fontId="3" fillId="2" borderId="0" xfId="0" applyNumberFormat="1" applyFont="1" applyFill="1" applyAlignment="1" applyProtection="1">
      <alignment vertical="center"/>
      <protection hidden="1"/>
    </xf>
    <xf numFmtId="0" fontId="4" fillId="3" borderId="0" xfId="0" applyFont="1" applyFill="1" applyProtection="1">
      <protection hidden="1"/>
    </xf>
    <xf numFmtId="0" fontId="3" fillId="2" borderId="0" xfId="0" applyFont="1" applyFill="1" applyAlignment="1" applyProtection="1">
      <alignment horizontal="right"/>
      <protection hidden="1"/>
    </xf>
    <xf numFmtId="0" fontId="3" fillId="2" borderId="0" xfId="0" applyFont="1" applyFill="1" applyAlignment="1" applyProtection="1">
      <alignment horizontal="center"/>
      <protection hidden="1"/>
    </xf>
    <xf numFmtId="0" fontId="4" fillId="0" borderId="0" xfId="0" applyFont="1" applyProtection="1">
      <protection hidden="1"/>
    </xf>
    <xf numFmtId="0" fontId="3" fillId="2" borderId="0" xfId="0" applyFont="1" applyFill="1" applyAlignment="1" applyProtection="1">
      <alignment horizontal="right" vertical="center"/>
      <protection hidden="1"/>
    </xf>
    <xf numFmtId="0" fontId="3" fillId="2" borderId="0" xfId="0" applyFont="1" applyFill="1" applyAlignment="1" applyProtection="1">
      <alignment horizontal="center" vertical="center"/>
      <protection hidden="1"/>
    </xf>
    <xf numFmtId="0" fontId="12" fillId="2" borderId="0" xfId="0" applyFont="1" applyFill="1" applyAlignment="1" applyProtection="1">
      <alignment horizontal="center"/>
      <protection hidden="1"/>
    </xf>
    <xf numFmtId="0" fontId="11" fillId="0" borderId="0" xfId="0" applyFont="1" applyAlignment="1" applyProtection="1">
      <alignment horizontal="center" vertical="center" textRotation="90" wrapText="1"/>
      <protection hidden="1"/>
    </xf>
    <xf numFmtId="0" fontId="3" fillId="4" borderId="1" xfId="0" applyFont="1" applyFill="1" applyBorder="1" applyAlignment="1" applyProtection="1">
      <alignment horizontal="right" vertical="center"/>
      <protection hidden="1"/>
    </xf>
    <xf numFmtId="0" fontId="3" fillId="4" borderId="0" xfId="0" applyFont="1" applyFill="1" applyProtection="1">
      <protection hidden="1"/>
    </xf>
    <xf numFmtId="0" fontId="3" fillId="4" borderId="0" xfId="0" applyFont="1" applyFill="1" applyAlignment="1" applyProtection="1">
      <alignment horizontal="center" vertical="center"/>
      <protection hidden="1"/>
    </xf>
    <xf numFmtId="0" fontId="3" fillId="0" borderId="2" xfId="0" applyFont="1" applyBorder="1" applyAlignment="1" applyProtection="1">
      <alignment horizontal="center" vertical="center"/>
      <protection hidden="1"/>
    </xf>
    <xf numFmtId="0" fontId="3" fillId="2" borderId="2" xfId="0" applyFont="1" applyFill="1" applyBorder="1" applyAlignment="1" applyProtection="1">
      <alignment horizontal="center" vertical="center"/>
      <protection hidden="1"/>
    </xf>
    <xf numFmtId="0" fontId="3" fillId="4" borderId="3" xfId="0" applyFont="1" applyFill="1" applyBorder="1" applyAlignment="1" applyProtection="1">
      <alignment horizontal="right" vertical="center"/>
      <protection hidden="1"/>
    </xf>
    <xf numFmtId="0" fontId="11" fillId="0" borderId="0" xfId="0" applyFont="1" applyAlignment="1" applyProtection="1">
      <alignment horizontal="left" vertical="center" wrapText="1"/>
      <protection hidden="1"/>
    </xf>
    <xf numFmtId="0" fontId="3" fillId="4" borderId="3" xfId="0" applyFont="1" applyFill="1" applyBorder="1" applyProtection="1">
      <protection hidden="1"/>
    </xf>
    <xf numFmtId="0" fontId="3" fillId="4" borderId="4" xfId="0" applyFont="1" applyFill="1" applyBorder="1" applyAlignment="1" applyProtection="1">
      <alignment horizontal="right" vertical="center"/>
      <protection hidden="1"/>
    </xf>
    <xf numFmtId="0" fontId="3" fillId="4" borderId="0" xfId="0" applyFont="1" applyFill="1" applyAlignment="1" applyProtection="1">
      <alignment horizontal="right" vertical="center"/>
      <protection hidden="1"/>
    </xf>
    <xf numFmtId="0" fontId="3" fillId="4" borderId="0" xfId="0" applyFont="1" applyFill="1" applyAlignment="1" applyProtection="1">
      <alignment horizontal="left" vertical="center"/>
      <protection hidden="1"/>
    </xf>
    <xf numFmtId="0" fontId="6" fillId="0" borderId="0" xfId="0" applyFont="1" applyAlignment="1" applyProtection="1">
      <alignment vertical="center" textRotation="90"/>
      <protection hidden="1"/>
    </xf>
    <xf numFmtId="0" fontId="3" fillId="0" borderId="0" xfId="0" applyFont="1" applyAlignment="1" applyProtection="1">
      <alignment vertical="center"/>
      <protection hidden="1"/>
    </xf>
    <xf numFmtId="0" fontId="3" fillId="2" borderId="0" xfId="0" applyFont="1" applyFill="1" applyAlignment="1" applyProtection="1">
      <alignment vertical="center"/>
      <protection hidden="1"/>
    </xf>
    <xf numFmtId="0" fontId="0" fillId="0" borderId="0" xfId="0" applyProtection="1">
      <protection hidden="1"/>
    </xf>
    <xf numFmtId="0" fontId="3" fillId="0" borderId="5" xfId="0" applyFont="1" applyBorder="1" applyAlignment="1" applyProtection="1">
      <alignment vertical="center"/>
      <protection hidden="1"/>
    </xf>
    <xf numFmtId="0" fontId="3" fillId="0" borderId="6" xfId="0" applyFont="1" applyBorder="1" applyAlignment="1" applyProtection="1">
      <alignment vertical="center"/>
      <protection hidden="1"/>
    </xf>
    <xf numFmtId="0" fontId="3" fillId="0" borderId="7" xfId="0" applyFont="1" applyBorder="1" applyAlignment="1" applyProtection="1">
      <alignment vertical="center"/>
      <protection hidden="1"/>
    </xf>
    <xf numFmtId="0" fontId="3" fillId="0" borderId="8" xfId="0" applyFont="1" applyBorder="1" applyAlignment="1" applyProtection="1">
      <alignment vertical="center" wrapText="1"/>
      <protection hidden="1"/>
    </xf>
    <xf numFmtId="0" fontId="3" fillId="0" borderId="9" xfId="0" applyFont="1" applyBorder="1" applyAlignment="1" applyProtection="1">
      <alignment vertical="center" wrapText="1"/>
      <protection hidden="1"/>
    </xf>
    <xf numFmtId="0" fontId="3" fillId="0" borderId="10" xfId="0" applyFont="1" applyBorder="1" applyAlignment="1" applyProtection="1">
      <alignment vertical="center"/>
      <protection hidden="1"/>
    </xf>
    <xf numFmtId="0" fontId="3" fillId="0" borderId="0" xfId="0" applyFont="1" applyAlignment="1" applyProtection="1">
      <alignment vertical="center" wrapText="1"/>
      <protection hidden="1"/>
    </xf>
    <xf numFmtId="0" fontId="3" fillId="0" borderId="8" xfId="0" applyFont="1" applyBorder="1" applyAlignment="1" applyProtection="1">
      <alignment vertical="center"/>
      <protection hidden="1"/>
    </xf>
    <xf numFmtId="0" fontId="3" fillId="0" borderId="9" xfId="0" applyFont="1" applyBorder="1" applyAlignment="1" applyProtection="1">
      <alignment vertical="center"/>
      <protection hidden="1"/>
    </xf>
    <xf numFmtId="0" fontId="2" fillId="0" borderId="0" xfId="0" applyFont="1" applyAlignment="1" applyProtection="1">
      <alignment vertical="center"/>
      <protection hidden="1"/>
    </xf>
    <xf numFmtId="0" fontId="3" fillId="0" borderId="11" xfId="0" applyFont="1" applyBorder="1" applyProtection="1">
      <protection hidden="1"/>
    </xf>
    <xf numFmtId="0" fontId="3" fillId="0" borderId="5" xfId="0" applyFont="1" applyBorder="1" applyProtection="1">
      <protection hidden="1"/>
    </xf>
    <xf numFmtId="0" fontId="3" fillId="0" borderId="6" xfId="0" applyFont="1" applyBorder="1" applyProtection="1">
      <protection hidden="1"/>
    </xf>
    <xf numFmtId="0" fontId="3" fillId="0" borderId="7" xfId="0" applyFont="1" applyBorder="1" applyProtection="1">
      <protection hidden="1"/>
    </xf>
    <xf numFmtId="0" fontId="3" fillId="0" borderId="8" xfId="0" applyFont="1" applyBorder="1" applyProtection="1">
      <protection hidden="1"/>
    </xf>
    <xf numFmtId="0" fontId="3" fillId="0" borderId="9" xfId="0" applyFont="1" applyBorder="1" applyProtection="1">
      <protection hidden="1"/>
    </xf>
    <xf numFmtId="0" fontId="3" fillId="0" borderId="10" xfId="0" applyFont="1" applyBorder="1" applyProtection="1">
      <protection hidden="1"/>
    </xf>
    <xf numFmtId="0" fontId="3" fillId="0" borderId="0" xfId="0" quotePrefix="1" applyFont="1" applyAlignment="1" applyProtection="1">
      <alignment horizontal="center" vertical="center"/>
      <protection hidden="1"/>
    </xf>
    <xf numFmtId="0" fontId="2" fillId="0" borderId="0" xfId="0" applyFont="1" applyAlignment="1" applyProtection="1">
      <alignment horizontal="right"/>
      <protection hidden="1"/>
    </xf>
    <xf numFmtId="0" fontId="5" fillId="0" borderId="0" xfId="0" applyFont="1" applyAlignment="1" applyProtection="1">
      <alignment horizontal="center"/>
      <protection hidden="1"/>
    </xf>
    <xf numFmtId="1" fontId="3" fillId="0" borderId="0" xfId="0" applyNumberFormat="1" applyFont="1" applyAlignment="1" applyProtection="1">
      <alignment horizontal="center" vertical="center"/>
      <protection hidden="1"/>
    </xf>
    <xf numFmtId="164" fontId="3" fillId="0" borderId="0" xfId="0" applyNumberFormat="1" applyFont="1" applyAlignment="1" applyProtection="1">
      <alignment horizontal="right" vertical="center"/>
      <protection hidden="1"/>
    </xf>
    <xf numFmtId="0" fontId="12" fillId="0" borderId="0" xfId="0" applyFont="1" applyProtection="1">
      <protection hidden="1"/>
    </xf>
    <xf numFmtId="0" fontId="3" fillId="4" borderId="0" xfId="0" applyFont="1" applyFill="1" applyAlignment="1" applyProtection="1">
      <alignment vertical="center"/>
      <protection hidden="1"/>
    </xf>
    <xf numFmtId="0" fontId="11" fillId="0" borderId="0" xfId="0" applyFont="1" applyAlignment="1" applyProtection="1">
      <alignment vertical="center" textRotation="90"/>
      <protection hidden="1"/>
    </xf>
    <xf numFmtId="0" fontId="9" fillId="0" borderId="0" xfId="0" applyFont="1" applyAlignment="1" applyProtection="1">
      <alignment horizontal="right" vertical="center" wrapText="1"/>
      <protection hidden="1"/>
    </xf>
    <xf numFmtId="0" fontId="7" fillId="0" borderId="12" xfId="0" applyFont="1" applyBorder="1" applyProtection="1">
      <protection hidden="1"/>
    </xf>
    <xf numFmtId="0" fontId="9" fillId="0" borderId="12" xfId="0" applyFont="1" applyBorder="1" applyAlignment="1" applyProtection="1">
      <alignment horizontal="center"/>
      <protection hidden="1"/>
    </xf>
    <xf numFmtId="0" fontId="15" fillId="0" borderId="0" xfId="0" applyFont="1" applyAlignment="1" applyProtection="1">
      <alignment horizontal="right" vertical="center" wrapText="1"/>
      <protection hidden="1"/>
    </xf>
    <xf numFmtId="0" fontId="7" fillId="0" borderId="0" xfId="0" applyFont="1" applyAlignment="1" applyProtection="1">
      <alignment horizontal="right" vertical="center"/>
      <protection hidden="1"/>
    </xf>
    <xf numFmtId="0" fontId="7" fillId="0" borderId="0" xfId="0" applyFont="1" applyAlignment="1" applyProtection="1">
      <alignment horizontal="center" vertical="center" wrapText="1"/>
      <protection hidden="1"/>
    </xf>
    <xf numFmtId="0" fontId="7" fillId="0" borderId="0" xfId="0" applyFont="1" applyAlignment="1" applyProtection="1">
      <alignment horizontal="center"/>
      <protection hidden="1"/>
    </xf>
    <xf numFmtId="1" fontId="3" fillId="0" borderId="2" xfId="0" applyNumberFormat="1" applyFont="1" applyBorder="1" applyAlignment="1" applyProtection="1">
      <alignment horizontal="center"/>
      <protection hidden="1"/>
    </xf>
    <xf numFmtId="164" fontId="3" fillId="0" borderId="2" xfId="0" applyNumberFormat="1" applyFont="1" applyBorder="1" applyAlignment="1" applyProtection="1">
      <alignment horizontal="center"/>
      <protection hidden="1"/>
    </xf>
    <xf numFmtId="1" fontId="3" fillId="0" borderId="0" xfId="0" applyNumberFormat="1" applyFont="1" applyAlignment="1" applyProtection="1">
      <alignment horizontal="center"/>
      <protection hidden="1"/>
    </xf>
    <xf numFmtId="0" fontId="3" fillId="0" borderId="2" xfId="0" applyFont="1" applyBorder="1" applyAlignment="1" applyProtection="1">
      <alignment horizontal="center"/>
      <protection locked="0" hidden="1"/>
    </xf>
    <xf numFmtId="0" fontId="7" fillId="0" borderId="0" xfId="0" applyFont="1" applyAlignment="1" applyProtection="1">
      <alignment vertical="center" wrapText="1"/>
      <protection hidden="1"/>
    </xf>
    <xf numFmtId="0" fontId="16" fillId="0" borderId="0" xfId="0" applyFont="1" applyAlignment="1">
      <alignment wrapText="1"/>
    </xf>
    <xf numFmtId="0" fontId="16" fillId="0" borderId="13" xfId="0" applyFont="1" applyBorder="1" applyAlignment="1">
      <alignment vertical="center"/>
    </xf>
    <xf numFmtId="0" fontId="16" fillId="0" borderId="14" xfId="0" applyFont="1" applyBorder="1" applyAlignment="1">
      <alignment vertical="center"/>
    </xf>
    <xf numFmtId="0" fontId="16" fillId="0" borderId="14" xfId="0" applyFont="1" applyBorder="1" applyAlignment="1">
      <alignment horizontal="right" vertical="center" wrapText="1"/>
    </xf>
    <xf numFmtId="0" fontId="9" fillId="0" borderId="13" xfId="0" applyFont="1" applyBorder="1" applyAlignment="1">
      <alignment horizontal="right" vertical="center" wrapText="1"/>
    </xf>
    <xf numFmtId="0" fontId="16" fillId="0" borderId="15" xfId="0" applyFont="1" applyBorder="1" applyAlignment="1">
      <alignment vertical="center"/>
    </xf>
    <xf numFmtId="0" fontId="16" fillId="0" borderId="16" xfId="0" applyFont="1" applyBorder="1" applyAlignment="1">
      <alignment vertical="center"/>
    </xf>
    <xf numFmtId="0" fontId="16" fillId="0" borderId="17" xfId="0" applyFont="1" applyBorder="1" applyAlignment="1">
      <alignment vertical="center" wrapText="1"/>
    </xf>
    <xf numFmtId="0" fontId="16" fillId="0" borderId="12" xfId="0" applyFont="1" applyBorder="1" applyAlignment="1">
      <alignment vertical="center" wrapText="1"/>
    </xf>
    <xf numFmtId="0" fontId="16" fillId="0" borderId="13" xfId="0" applyFont="1" applyBorder="1" applyAlignment="1">
      <alignment vertical="center" wrapText="1"/>
    </xf>
    <xf numFmtId="0" fontId="16" fillId="0" borderId="15" xfId="0" applyFont="1" applyBorder="1" applyAlignment="1">
      <alignment vertical="center" wrapText="1"/>
    </xf>
    <xf numFmtId="0" fontId="7" fillId="0" borderId="13" xfId="0" applyFont="1" applyBorder="1" applyAlignment="1">
      <alignment vertical="center" wrapText="1"/>
    </xf>
    <xf numFmtId="0" fontId="7" fillId="0" borderId="13" xfId="0" applyFont="1" applyBorder="1" applyAlignment="1">
      <alignment vertical="center"/>
    </xf>
    <xf numFmtId="0" fontId="7" fillId="0" borderId="14" xfId="0" applyFont="1" applyBorder="1" applyAlignment="1">
      <alignment horizontal="right" vertical="center" wrapText="1"/>
    </xf>
    <xf numFmtId="0" fontId="7" fillId="0" borderId="17" xfId="0" applyFont="1" applyBorder="1" applyAlignment="1">
      <alignment vertical="center" wrapText="1"/>
    </xf>
    <xf numFmtId="0" fontId="7" fillId="0" borderId="14" xfId="0" applyFont="1" applyBorder="1" applyAlignment="1">
      <alignment vertical="center"/>
    </xf>
    <xf numFmtId="0" fontId="7" fillId="0" borderId="13" xfId="0" applyFont="1" applyBorder="1" applyAlignment="1">
      <alignment horizontal="right" vertical="center" wrapText="1"/>
    </xf>
    <xf numFmtId="0" fontId="7" fillId="0" borderId="14" xfId="0" applyFont="1" applyBorder="1" applyAlignment="1">
      <alignment horizontal="center" vertical="center" wrapText="1"/>
    </xf>
    <xf numFmtId="0" fontId="7" fillId="0" borderId="15" xfId="0" applyFont="1" applyBorder="1" applyAlignment="1">
      <alignment vertical="center"/>
    </xf>
    <xf numFmtId="0" fontId="7" fillId="0" borderId="16" xfId="0" applyFont="1" applyBorder="1" applyAlignment="1">
      <alignment vertical="center"/>
    </xf>
    <xf numFmtId="0" fontId="7" fillId="0" borderId="15" xfId="0" applyFont="1" applyBorder="1" applyAlignment="1">
      <alignment vertical="center" wrapText="1"/>
    </xf>
    <xf numFmtId="0" fontId="7" fillId="0" borderId="17" xfId="0" applyFont="1" applyBorder="1" applyAlignment="1">
      <alignment horizontal="right" vertical="center" wrapText="1"/>
    </xf>
    <xf numFmtId="0" fontId="7" fillId="0" borderId="18" xfId="0" applyFont="1" applyBorder="1" applyAlignment="1">
      <alignment vertical="center" wrapText="1"/>
    </xf>
    <xf numFmtId="0" fontId="7" fillId="0" borderId="11" xfId="0" applyFont="1" applyBorder="1" applyAlignment="1">
      <alignment horizontal="center" vertical="center" wrapText="1"/>
    </xf>
    <xf numFmtId="0" fontId="7" fillId="0" borderId="18" xfId="0" applyFont="1" applyBorder="1" applyAlignment="1">
      <alignment horizontal="right" vertical="center" wrapText="1"/>
    </xf>
    <xf numFmtId="0" fontId="7" fillId="0" borderId="18" xfId="0" applyFont="1" applyBorder="1" applyAlignment="1">
      <alignment vertical="center"/>
    </xf>
    <xf numFmtId="0" fontId="7" fillId="0" borderId="0" xfId="0" applyFont="1" applyAlignment="1">
      <alignment vertical="center"/>
    </xf>
    <xf numFmtId="0" fontId="7" fillId="0" borderId="17" xfId="0" applyFont="1" applyBorder="1" applyAlignment="1">
      <alignment vertical="center"/>
    </xf>
    <xf numFmtId="0" fontId="7" fillId="0" borderId="11" xfId="0" applyFont="1" applyBorder="1" applyAlignment="1">
      <alignment vertical="center"/>
    </xf>
    <xf numFmtId="0" fontId="7" fillId="0" borderId="0" xfId="0" applyFont="1" applyAlignment="1" applyProtection="1">
      <alignment horizontal="left"/>
      <protection hidden="1"/>
    </xf>
    <xf numFmtId="0" fontId="0" fillId="0" borderId="0" xfId="0" applyAlignment="1">
      <alignment horizontal="left"/>
    </xf>
    <xf numFmtId="0" fontId="1" fillId="0" borderId="0" xfId="0" applyFont="1"/>
    <xf numFmtId="0" fontId="1" fillId="0" borderId="15" xfId="0" applyFont="1" applyBorder="1"/>
    <xf numFmtId="0" fontId="1" fillId="0" borderId="12" xfId="0" applyFont="1" applyBorder="1"/>
    <xf numFmtId="0" fontId="16" fillId="0" borderId="14" xfId="0" applyFont="1" applyBorder="1" applyAlignment="1">
      <alignment vertical="center" wrapText="1"/>
    </xf>
    <xf numFmtId="0" fontId="17" fillId="0" borderId="13" xfId="0" applyFont="1" applyBorder="1" applyAlignment="1">
      <alignment horizontal="right" vertical="center" wrapText="1"/>
    </xf>
    <xf numFmtId="0" fontId="16" fillId="0" borderId="16" xfId="0" applyFont="1" applyBorder="1" applyAlignment="1">
      <alignment horizontal="right" vertical="center" wrapText="1"/>
    </xf>
    <xf numFmtId="0" fontId="0" fillId="0" borderId="0" xfId="0" applyAlignment="1">
      <alignment vertical="center"/>
    </xf>
    <xf numFmtId="0" fontId="10" fillId="0" borderId="0" xfId="0" applyFont="1" applyAlignment="1" applyProtection="1">
      <alignment vertical="center"/>
      <protection hidden="1"/>
    </xf>
    <xf numFmtId="0" fontId="10" fillId="0" borderId="0" xfId="0" applyFont="1" applyProtection="1">
      <protection hidden="1"/>
    </xf>
    <xf numFmtId="0" fontId="3" fillId="0" borderId="0" xfId="0" applyFont="1" applyAlignment="1">
      <alignment horizontal="center"/>
    </xf>
    <xf numFmtId="0" fontId="17" fillId="0" borderId="12" xfId="0" applyFont="1" applyBorder="1" applyAlignment="1">
      <alignment vertical="center" wrapText="1"/>
    </xf>
    <xf numFmtId="2" fontId="9" fillId="0" borderId="12" xfId="0" applyNumberFormat="1" applyFont="1" applyBorder="1" applyAlignment="1">
      <alignment vertical="center" wrapText="1"/>
    </xf>
    <xf numFmtId="1" fontId="2" fillId="0" borderId="0" xfId="0" applyNumberFormat="1" applyFont="1" applyAlignment="1">
      <alignment horizontal="center"/>
    </xf>
    <xf numFmtId="0" fontId="17" fillId="0" borderId="0" xfId="0" applyFont="1" applyAlignment="1">
      <alignment horizontal="center" vertical="center" textRotation="90" wrapText="1"/>
    </xf>
    <xf numFmtId="0" fontId="9" fillId="0" borderId="0" xfId="0" applyFont="1" applyAlignment="1">
      <alignment horizontal="right" vertical="center" wrapText="1"/>
    </xf>
    <xf numFmtId="164" fontId="9" fillId="0" borderId="0" xfId="0" applyNumberFormat="1" applyFont="1" applyAlignment="1">
      <alignment horizontal="center" vertical="center" wrapText="1"/>
    </xf>
    <xf numFmtId="0" fontId="21" fillId="2" borderId="0" xfId="0" applyFont="1" applyFill="1" applyAlignment="1" applyProtection="1">
      <alignment vertical="center"/>
      <protection locked="0" hidden="1"/>
    </xf>
    <xf numFmtId="0" fontId="18" fillId="4" borderId="0" xfId="0" applyFont="1" applyFill="1" applyAlignment="1" applyProtection="1">
      <alignment horizontal="center" vertical="center"/>
      <protection locked="0" hidden="1"/>
    </xf>
    <xf numFmtId="0" fontId="3" fillId="5" borderId="0" xfId="0" applyFont="1" applyFill="1" applyProtection="1">
      <protection hidden="1"/>
    </xf>
    <xf numFmtId="0" fontId="8" fillId="5" borderId="0" xfId="0" applyFont="1" applyFill="1" applyAlignment="1" applyProtection="1">
      <alignment horizontal="center" vertical="center"/>
      <protection hidden="1"/>
    </xf>
    <xf numFmtId="0" fontId="8" fillId="5" borderId="0" xfId="0" applyFont="1" applyFill="1" applyAlignment="1" applyProtection="1">
      <alignment horizontal="center" vertical="center" wrapText="1"/>
      <protection hidden="1"/>
    </xf>
    <xf numFmtId="0" fontId="30" fillId="0" borderId="0" xfId="0" applyFont="1" applyProtection="1">
      <protection hidden="1"/>
    </xf>
    <xf numFmtId="0" fontId="30" fillId="2" borderId="0" xfId="0" applyFont="1" applyFill="1" applyProtection="1">
      <protection hidden="1"/>
    </xf>
    <xf numFmtId="0" fontId="30" fillId="2" borderId="0" xfId="0" applyFont="1" applyFill="1" applyAlignment="1" applyProtection="1">
      <alignment horizontal="center"/>
      <protection hidden="1"/>
    </xf>
    <xf numFmtId="0" fontId="30" fillId="0" borderId="0" xfId="0" applyFont="1" applyAlignment="1" applyProtection="1">
      <alignment vertical="center"/>
      <protection hidden="1"/>
    </xf>
    <xf numFmtId="0" fontId="31" fillId="0" borderId="0" xfId="0" applyFont="1" applyProtection="1">
      <protection hidden="1"/>
    </xf>
    <xf numFmtId="0" fontId="32" fillId="2" borderId="0" xfId="0" applyFont="1" applyFill="1" applyAlignment="1" applyProtection="1">
      <alignment horizontal="right" vertical="center"/>
      <protection hidden="1"/>
    </xf>
    <xf numFmtId="0" fontId="32" fillId="2" borderId="0" xfId="0" applyFont="1" applyFill="1" applyAlignment="1" applyProtection="1">
      <alignment horizontal="center" vertical="center"/>
      <protection hidden="1"/>
    </xf>
    <xf numFmtId="0" fontId="33" fillId="0" borderId="0" xfId="0" applyFont="1" applyProtection="1">
      <protection hidden="1"/>
    </xf>
    <xf numFmtId="0" fontId="32" fillId="2" borderId="0" xfId="0" applyFont="1" applyFill="1" applyAlignment="1" applyProtection="1">
      <alignment horizontal="left" vertical="center"/>
      <protection hidden="1"/>
    </xf>
    <xf numFmtId="0" fontId="7" fillId="0" borderId="19" xfId="0" applyFont="1" applyBorder="1" applyAlignment="1" applyProtection="1">
      <alignment vertical="center"/>
      <protection hidden="1"/>
    </xf>
    <xf numFmtId="0" fontId="10" fillId="0" borderId="20" xfId="0" applyFont="1" applyBorder="1" applyAlignment="1" applyProtection="1">
      <alignment vertical="center"/>
      <protection hidden="1"/>
    </xf>
    <xf numFmtId="0" fontId="7" fillId="0" borderId="19" xfId="0" applyFont="1" applyBorder="1" applyProtection="1">
      <protection hidden="1"/>
    </xf>
    <xf numFmtId="0" fontId="7" fillId="0" borderId="0" xfId="0" applyFont="1" applyAlignment="1" applyProtection="1">
      <alignment horizontal="left" vertical="center"/>
      <protection hidden="1"/>
    </xf>
    <xf numFmtId="164" fontId="3" fillId="4" borderId="0" xfId="0" applyNumberFormat="1" applyFont="1" applyFill="1" applyAlignment="1" applyProtection="1">
      <alignment horizontal="center" vertical="center"/>
      <protection hidden="1"/>
    </xf>
    <xf numFmtId="0" fontId="25" fillId="0" borderId="0" xfId="0" applyFont="1" applyAlignment="1" applyProtection="1">
      <alignment vertical="center"/>
      <protection hidden="1"/>
    </xf>
    <xf numFmtId="0" fontId="25" fillId="0" borderId="0" xfId="0" applyFont="1" applyProtection="1">
      <protection hidden="1"/>
    </xf>
    <xf numFmtId="2" fontId="3" fillId="0" borderId="0" xfId="0" applyNumberFormat="1" applyFont="1" applyProtection="1">
      <protection hidden="1"/>
    </xf>
    <xf numFmtId="2" fontId="3" fillId="0" borderId="0" xfId="0" applyNumberFormat="1" applyFont="1" applyAlignment="1" applyProtection="1">
      <alignment horizontal="center" vertical="center"/>
      <protection hidden="1"/>
    </xf>
    <xf numFmtId="2" fontId="3" fillId="0" borderId="0" xfId="0" applyNumberFormat="1" applyFont="1" applyAlignment="1" applyProtection="1">
      <alignment vertical="center"/>
      <protection hidden="1"/>
    </xf>
    <xf numFmtId="2" fontId="3" fillId="0" borderId="0" xfId="0" applyNumberFormat="1" applyFont="1" applyAlignment="1" applyProtection="1">
      <alignment horizontal="right" vertical="center"/>
      <protection hidden="1"/>
    </xf>
    <xf numFmtId="0" fontId="7" fillId="0" borderId="13" xfId="0" applyFont="1" applyBorder="1" applyAlignment="1">
      <alignment horizontal="center" vertical="center" wrapText="1"/>
    </xf>
    <xf numFmtId="0" fontId="7" fillId="0" borderId="14" xfId="0" applyFont="1" applyBorder="1" applyAlignment="1">
      <alignment horizontal="center" vertical="center"/>
    </xf>
    <xf numFmtId="0" fontId="13" fillId="6" borderId="0" xfId="0" applyFont="1" applyFill="1" applyAlignment="1" applyProtection="1">
      <alignment horizontal="left"/>
      <protection hidden="1"/>
    </xf>
    <xf numFmtId="0" fontId="14" fillId="6" borderId="0" xfId="0" applyFont="1" applyFill="1" applyAlignment="1" applyProtection="1">
      <alignment horizontal="left"/>
      <protection hidden="1"/>
    </xf>
    <xf numFmtId="0" fontId="3" fillId="0" borderId="2" xfId="0" applyFont="1" applyBorder="1" applyAlignment="1" applyProtection="1">
      <alignment horizontal="center"/>
      <protection hidden="1"/>
    </xf>
    <xf numFmtId="0" fontId="0" fillId="6" borderId="0" xfId="0" applyFill="1" applyProtection="1">
      <protection hidden="1"/>
    </xf>
    <xf numFmtId="0" fontId="3" fillId="7" borderId="0" xfId="0" applyFont="1" applyFill="1" applyProtection="1">
      <protection hidden="1"/>
    </xf>
    <xf numFmtId="1" fontId="3" fillId="7" borderId="0" xfId="0" applyNumberFormat="1" applyFont="1" applyFill="1" applyAlignment="1" applyProtection="1">
      <alignment horizontal="center"/>
      <protection hidden="1"/>
    </xf>
    <xf numFmtId="0" fontId="0" fillId="0" borderId="0" xfId="0" applyAlignment="1" applyProtection="1">
      <alignment vertical="center"/>
      <protection hidden="1"/>
    </xf>
    <xf numFmtId="0" fontId="3" fillId="0" borderId="0" xfId="0" applyFont="1" applyAlignment="1" applyProtection="1">
      <alignment horizontal="left" vertical="center"/>
      <protection hidden="1"/>
    </xf>
    <xf numFmtId="0" fontId="31" fillId="0" borderId="0" xfId="0" applyFont="1" applyAlignment="1" applyProtection="1">
      <alignment vertical="center"/>
      <protection hidden="1"/>
    </xf>
    <xf numFmtId="0" fontId="34" fillId="0" borderId="0" xfId="0" applyFont="1"/>
    <xf numFmtId="0" fontId="35" fillId="0" borderId="0" xfId="0" applyFont="1"/>
    <xf numFmtId="0" fontId="36" fillId="0" borderId="0" xfId="0" applyFont="1" applyProtection="1">
      <protection hidden="1"/>
    </xf>
    <xf numFmtId="0" fontId="37" fillId="0" borderId="0" xfId="0" applyFont="1" applyProtection="1">
      <protection hidden="1"/>
    </xf>
    <xf numFmtId="0" fontId="38" fillId="0" borderId="0" xfId="0" applyFont="1"/>
    <xf numFmtId="164" fontId="39" fillId="0" borderId="0" xfId="0" applyNumberFormat="1" applyFont="1" applyAlignment="1">
      <alignment horizontal="center" vertical="center" wrapText="1"/>
    </xf>
    <xf numFmtId="1" fontId="40" fillId="0" borderId="0" xfId="0" applyNumberFormat="1" applyFont="1" applyAlignment="1">
      <alignment horizontal="center"/>
    </xf>
    <xf numFmtId="0" fontId="41" fillId="0" borderId="0" xfId="0" applyFont="1"/>
    <xf numFmtId="2" fontId="39" fillId="0" borderId="0" xfId="0" applyNumberFormat="1" applyFont="1" applyAlignment="1">
      <alignment horizontal="center" vertical="center" wrapText="1"/>
    </xf>
    <xf numFmtId="0" fontId="38" fillId="0" borderId="12" xfId="0" applyFont="1" applyBorder="1"/>
    <xf numFmtId="0" fontId="0" fillId="0" borderId="14" xfId="0" applyBorder="1" applyAlignment="1">
      <alignment vertical="center"/>
    </xf>
    <xf numFmtId="0" fontId="0" fillId="0" borderId="13" xfId="0" applyBorder="1" applyAlignment="1">
      <alignment vertical="center"/>
    </xf>
    <xf numFmtId="0" fontId="42" fillId="6" borderId="21" xfId="0" applyFont="1" applyFill="1" applyBorder="1" applyAlignment="1">
      <alignment horizontal="center" vertical="center" textRotation="90" wrapText="1"/>
    </xf>
    <xf numFmtId="0" fontId="3" fillId="0" borderId="0" xfId="0" applyFont="1" applyAlignment="1" applyProtection="1">
      <alignment horizontal="center" vertical="center"/>
      <protection hidden="1"/>
    </xf>
    <xf numFmtId="0" fontId="32" fillId="0" borderId="22" xfId="0" applyFont="1" applyBorder="1" applyAlignment="1" applyProtection="1">
      <alignment horizontal="center" vertical="center" wrapText="1"/>
      <protection hidden="1"/>
    </xf>
    <xf numFmtId="0" fontId="3" fillId="2" borderId="0" xfId="0" applyFont="1" applyFill="1" applyAlignment="1" applyProtection="1">
      <alignment horizontal="left"/>
      <protection hidden="1"/>
    </xf>
    <xf numFmtId="0" fontId="32" fillId="0" borderId="0" xfId="0" applyFont="1" applyAlignment="1" applyProtection="1">
      <alignment horizontal="left" vertical="center" wrapText="1"/>
      <protection hidden="1"/>
    </xf>
    <xf numFmtId="0" fontId="3" fillId="0" borderId="0" xfId="0" applyFont="1" applyAlignment="1" applyProtection="1">
      <alignment horizontal="center"/>
      <protection hidden="1"/>
    </xf>
    <xf numFmtId="0" fontId="2" fillId="0" borderId="0" xfId="0" applyFont="1" applyAlignment="1" applyProtection="1">
      <alignment horizontal="center" vertical="center"/>
      <protection hidden="1"/>
    </xf>
    <xf numFmtId="0" fontId="37" fillId="0" borderId="0" xfId="0" applyFont="1" applyAlignment="1" applyProtection="1">
      <alignment horizontal="center"/>
      <protection hidden="1"/>
    </xf>
    <xf numFmtId="0" fontId="43" fillId="0" borderId="0" xfId="0" applyFont="1" applyProtection="1">
      <protection hidden="1"/>
    </xf>
    <xf numFmtId="0" fontId="37" fillId="0" borderId="0" xfId="0" applyFont="1" applyAlignment="1" applyProtection="1">
      <alignment horizontal="right" vertical="center"/>
      <protection hidden="1"/>
    </xf>
    <xf numFmtId="0" fontId="44" fillId="0" borderId="0" xfId="0" applyFont="1" applyAlignment="1" applyProtection="1">
      <alignment horizontal="right" vertical="center"/>
      <protection hidden="1"/>
    </xf>
    <xf numFmtId="0" fontId="19" fillId="5" borderId="0" xfId="0" applyFont="1" applyFill="1" applyProtection="1">
      <protection hidden="1"/>
    </xf>
    <xf numFmtId="0" fontId="0" fillId="5" borderId="0" xfId="0" applyFill="1" applyProtection="1">
      <protection hidden="1"/>
    </xf>
    <xf numFmtId="0" fontId="45" fillId="0" borderId="0" xfId="0" applyFont="1" applyAlignment="1" applyProtection="1">
      <alignment horizontal="right" vertical="center"/>
      <protection hidden="1"/>
    </xf>
    <xf numFmtId="1" fontId="20" fillId="0" borderId="0" xfId="0" applyNumberFormat="1" applyFont="1" applyAlignment="1" applyProtection="1">
      <alignment horizontal="center" vertical="center"/>
      <protection hidden="1"/>
    </xf>
    <xf numFmtId="0" fontId="20" fillId="0" borderId="0" xfId="0" applyFont="1" applyAlignment="1" applyProtection="1">
      <alignment wrapText="1"/>
      <protection hidden="1"/>
    </xf>
    <xf numFmtId="0" fontId="0" fillId="0" borderId="5" xfId="0" applyBorder="1" applyProtection="1">
      <protection hidden="1"/>
    </xf>
    <xf numFmtId="0" fontId="0" fillId="0" borderId="22" xfId="0" applyBorder="1" applyAlignment="1" applyProtection="1">
      <alignment vertical="center"/>
      <protection hidden="1"/>
    </xf>
    <xf numFmtId="0" fontId="3" fillId="0" borderId="23" xfId="0" applyFont="1" applyBorder="1" applyAlignment="1" applyProtection="1">
      <alignment vertical="center"/>
      <protection hidden="1"/>
    </xf>
    <xf numFmtId="0" fontId="3" fillId="0" borderId="22" xfId="0" applyFont="1" applyBorder="1" applyAlignment="1" applyProtection="1">
      <alignment vertical="center"/>
      <protection hidden="1"/>
    </xf>
    <xf numFmtId="0" fontId="0" fillId="0" borderId="23" xfId="0" applyBorder="1" applyAlignment="1" applyProtection="1">
      <alignment vertical="center"/>
      <protection hidden="1"/>
    </xf>
    <xf numFmtId="0" fontId="0" fillId="0" borderId="24" xfId="0" applyBorder="1" applyProtection="1">
      <protection hidden="1"/>
    </xf>
    <xf numFmtId="0" fontId="0" fillId="0" borderId="25" xfId="0" applyBorder="1" applyProtection="1">
      <protection hidden="1"/>
    </xf>
    <xf numFmtId="0" fontId="7" fillId="0" borderId="26" xfId="0" applyFont="1" applyBorder="1" applyProtection="1">
      <protection hidden="1"/>
    </xf>
    <xf numFmtId="0" fontId="7" fillId="0" borderId="25" xfId="0" applyFont="1" applyBorder="1" applyProtection="1">
      <protection hidden="1"/>
    </xf>
    <xf numFmtId="0" fontId="0" fillId="0" borderId="26" xfId="0" applyBorder="1" applyProtection="1">
      <protection hidden="1"/>
    </xf>
    <xf numFmtId="0" fontId="0" fillId="0" borderId="27" xfId="0" applyBorder="1" applyProtection="1">
      <protection hidden="1"/>
    </xf>
    <xf numFmtId="0" fontId="0" fillId="0" borderId="22" xfId="0" applyBorder="1" applyProtection="1">
      <protection hidden="1"/>
    </xf>
    <xf numFmtId="0" fontId="7" fillId="0" borderId="23" xfId="0" applyFont="1" applyBorder="1" applyProtection="1">
      <protection hidden="1"/>
    </xf>
    <xf numFmtId="0" fontId="7" fillId="0" borderId="22" xfId="0" applyFont="1" applyBorder="1" applyProtection="1">
      <protection hidden="1"/>
    </xf>
    <xf numFmtId="0" fontId="0" fillId="0" borderId="23" xfId="0" applyBorder="1" applyProtection="1">
      <protection hidden="1"/>
    </xf>
    <xf numFmtId="0" fontId="0" fillId="0" borderId="28" xfId="0" applyBorder="1" applyProtection="1">
      <protection hidden="1"/>
    </xf>
    <xf numFmtId="0" fontId="0" fillId="0" borderId="29" xfId="0" applyBorder="1" applyProtection="1">
      <protection hidden="1"/>
    </xf>
    <xf numFmtId="0" fontId="7" fillId="0" borderId="20" xfId="0" applyFont="1" applyBorder="1" applyProtection="1">
      <protection hidden="1"/>
    </xf>
    <xf numFmtId="0" fontId="7" fillId="0" borderId="30" xfId="0" applyFont="1" applyBorder="1" applyProtection="1">
      <protection hidden="1"/>
    </xf>
    <xf numFmtId="0" fontId="7" fillId="0" borderId="29" xfId="0" applyFont="1" applyBorder="1" applyProtection="1">
      <protection hidden="1"/>
    </xf>
    <xf numFmtId="0" fontId="10" fillId="0" borderId="20" xfId="0" applyFont="1" applyBorder="1" applyProtection="1">
      <protection hidden="1"/>
    </xf>
    <xf numFmtId="0" fontId="0" fillId="0" borderId="30" xfId="0" applyBorder="1" applyProtection="1">
      <protection hidden="1"/>
    </xf>
    <xf numFmtId="0" fontId="3" fillId="0" borderId="23" xfId="0" applyFont="1" applyBorder="1" applyProtection="1">
      <protection hidden="1"/>
    </xf>
    <xf numFmtId="0" fontId="3" fillId="0" borderId="22" xfId="0" applyFont="1" applyBorder="1" applyProtection="1">
      <protection hidden="1"/>
    </xf>
    <xf numFmtId="0" fontId="32" fillId="0" borderId="31" xfId="0" applyFont="1" applyBorder="1" applyAlignment="1" applyProtection="1">
      <alignment horizontal="center" vertical="center" wrapText="1"/>
      <protection hidden="1"/>
    </xf>
    <xf numFmtId="0" fontId="0" fillId="0" borderId="8" xfId="0" applyBorder="1" applyProtection="1">
      <protection hidden="1"/>
    </xf>
    <xf numFmtId="0" fontId="0" fillId="0" borderId="9" xfId="0" applyBorder="1" applyProtection="1">
      <protection hidden="1"/>
    </xf>
    <xf numFmtId="0" fontId="0" fillId="0" borderId="10" xfId="0" applyBorder="1" applyProtection="1">
      <protection hidden="1"/>
    </xf>
    <xf numFmtId="0" fontId="46" fillId="0" borderId="0" xfId="0" applyFont="1" applyAlignment="1" applyProtection="1">
      <alignment horizontal="right"/>
      <protection hidden="1"/>
    </xf>
    <xf numFmtId="0" fontId="0" fillId="0" borderId="0" xfId="0" applyAlignment="1" applyProtection="1">
      <alignment horizontal="right"/>
      <protection hidden="1"/>
    </xf>
    <xf numFmtId="0" fontId="47" fillId="0" borderId="0" xfId="0" applyFont="1" applyAlignment="1" applyProtection="1">
      <alignment horizontal="center"/>
      <protection hidden="1"/>
    </xf>
    <xf numFmtId="0" fontId="24" fillId="0" borderId="0" xfId="0" applyFont="1" applyProtection="1">
      <protection hidden="1"/>
    </xf>
    <xf numFmtId="0" fontId="0" fillId="0" borderId="0" xfId="0" applyAlignment="1" applyProtection="1">
      <alignment horizontal="left"/>
      <protection hidden="1"/>
    </xf>
    <xf numFmtId="0" fontId="30" fillId="0" borderId="0" xfId="0" applyFont="1" applyAlignment="1" applyProtection="1">
      <alignment horizontal="left"/>
      <protection hidden="1"/>
    </xf>
    <xf numFmtId="0" fontId="7" fillId="0" borderId="0" xfId="0" applyFont="1" applyAlignment="1" applyProtection="1">
      <alignment horizontal="right"/>
      <protection hidden="1"/>
    </xf>
    <xf numFmtId="0" fontId="20" fillId="0" borderId="0" xfId="0" applyFont="1" applyAlignment="1" applyProtection="1">
      <alignment horizontal="center"/>
      <protection hidden="1"/>
    </xf>
    <xf numFmtId="1" fontId="0" fillId="0" borderId="0" xfId="0" applyNumberFormat="1" applyProtection="1">
      <protection hidden="1"/>
    </xf>
    <xf numFmtId="0" fontId="5" fillId="0" borderId="0" xfId="0" applyFont="1" applyProtection="1">
      <protection hidden="1"/>
    </xf>
    <xf numFmtId="0" fontId="18" fillId="2" borderId="2" xfId="0" applyFont="1" applyFill="1" applyBorder="1" applyAlignment="1" applyProtection="1">
      <alignment horizontal="center" vertical="center"/>
      <protection locked="0" hidden="1"/>
    </xf>
    <xf numFmtId="0" fontId="0" fillId="7" borderId="0" xfId="0" applyFill="1" applyProtection="1">
      <protection hidden="1"/>
    </xf>
    <xf numFmtId="1" fontId="0" fillId="0" borderId="0" xfId="0" applyNumberFormat="1" applyAlignment="1" applyProtection="1">
      <alignment horizontal="center"/>
      <protection hidden="1"/>
    </xf>
    <xf numFmtId="0" fontId="10" fillId="0" borderId="0" xfId="0" applyFont="1" applyAlignment="1" applyProtection="1">
      <alignment vertical="center" wrapText="1"/>
      <protection hidden="1"/>
    </xf>
    <xf numFmtId="0" fontId="26" fillId="0" borderId="0" xfId="0" applyFont="1" applyProtection="1">
      <protection hidden="1"/>
    </xf>
    <xf numFmtId="0" fontId="10" fillId="0" borderId="0" xfId="0" applyFont="1" applyAlignment="1" applyProtection="1">
      <alignment horizontal="left" vertical="center" wrapText="1"/>
      <protection hidden="1"/>
    </xf>
    <xf numFmtId="0" fontId="10" fillId="0" borderId="0" xfId="0" applyFont="1" applyAlignment="1" applyProtection="1">
      <alignment horizontal="center" vertical="center" wrapText="1"/>
      <protection hidden="1"/>
    </xf>
    <xf numFmtId="0" fontId="27" fillId="0" borderId="0" xfId="0" applyFont="1" applyAlignment="1" applyProtection="1">
      <alignment horizontal="right"/>
      <protection hidden="1"/>
    </xf>
    <xf numFmtId="0" fontId="0" fillId="0" borderId="0" xfId="0" applyAlignment="1" applyProtection="1">
      <alignment horizontal="center"/>
      <protection hidden="1"/>
    </xf>
    <xf numFmtId="0" fontId="27" fillId="0" borderId="0" xfId="0" applyFont="1" applyAlignment="1" applyProtection="1">
      <alignment horizontal="left"/>
      <protection hidden="1"/>
    </xf>
    <xf numFmtId="0" fontId="27" fillId="0" borderId="0" xfId="0" applyFont="1" applyProtection="1">
      <protection hidden="1"/>
    </xf>
    <xf numFmtId="0" fontId="27" fillId="0" borderId="12" xfId="0" applyFont="1" applyBorder="1" applyProtection="1">
      <protection hidden="1"/>
    </xf>
    <xf numFmtId="0" fontId="27" fillId="0" borderId="12" xfId="0" applyFont="1" applyBorder="1" applyAlignment="1" applyProtection="1">
      <alignment horizontal="right"/>
      <protection hidden="1"/>
    </xf>
    <xf numFmtId="0" fontId="0" fillId="0" borderId="12" xfId="0" applyBorder="1" applyAlignment="1" applyProtection="1">
      <alignment horizontal="center"/>
      <protection hidden="1"/>
    </xf>
    <xf numFmtId="0" fontId="27" fillId="0" borderId="12" xfId="0" applyFont="1" applyBorder="1" applyAlignment="1" applyProtection="1">
      <alignment horizontal="left"/>
      <protection hidden="1"/>
    </xf>
    <xf numFmtId="0" fontId="0" fillId="0" borderId="12" xfId="0" applyBorder="1" applyProtection="1">
      <protection hidden="1"/>
    </xf>
    <xf numFmtId="0" fontId="0" fillId="0" borderId="12" xfId="0" applyBorder="1" applyAlignment="1" applyProtection="1">
      <alignment horizontal="left"/>
      <protection hidden="1"/>
    </xf>
    <xf numFmtId="0" fontId="48" fillId="0" borderId="0" xfId="1" applyFont="1" applyAlignment="1" applyProtection="1">
      <alignment wrapText="1"/>
      <protection hidden="1"/>
    </xf>
    <xf numFmtId="0" fontId="56" fillId="0" borderId="0" xfId="1" applyAlignment="1" applyProtection="1">
      <alignment wrapText="1"/>
      <protection hidden="1"/>
    </xf>
    <xf numFmtId="0" fontId="56" fillId="0" borderId="0" xfId="1" applyProtection="1">
      <protection hidden="1"/>
    </xf>
    <xf numFmtId="0" fontId="56" fillId="0" borderId="0" xfId="1" applyAlignment="1" applyProtection="1">
      <alignment horizontal="center" vertical="center"/>
      <protection hidden="1"/>
    </xf>
    <xf numFmtId="0" fontId="56" fillId="0" borderId="0" xfId="1" applyAlignment="1" applyProtection="1">
      <alignment vertical="center" wrapText="1"/>
      <protection hidden="1"/>
    </xf>
    <xf numFmtId="0" fontId="56" fillId="0" borderId="0" xfId="1" applyAlignment="1" applyProtection="1">
      <alignment vertical="center"/>
      <protection hidden="1"/>
    </xf>
    <xf numFmtId="0" fontId="49" fillId="0" borderId="0" xfId="1" applyFont="1" applyAlignment="1" applyProtection="1">
      <alignment textRotation="90" wrapText="1"/>
      <protection hidden="1"/>
    </xf>
    <xf numFmtId="0" fontId="39" fillId="0" borderId="6" xfId="1" applyFont="1" applyBorder="1" applyAlignment="1" applyProtection="1">
      <alignment horizontal="center" vertical="center"/>
      <protection hidden="1"/>
    </xf>
    <xf numFmtId="0" fontId="13" fillId="0" borderId="0" xfId="0" applyFont="1" applyProtection="1">
      <protection hidden="1"/>
    </xf>
    <xf numFmtId="0" fontId="13" fillId="2" borderId="0" xfId="0" applyFont="1" applyFill="1" applyProtection="1">
      <protection hidden="1"/>
    </xf>
    <xf numFmtId="0" fontId="13" fillId="0" borderId="0" xfId="0" applyFont="1" applyProtection="1">
      <protection locked="0" hidden="1"/>
    </xf>
    <xf numFmtId="0" fontId="13" fillId="0" borderId="0" xfId="0" applyFont="1" applyAlignment="1" applyProtection="1">
      <alignment horizontal="center"/>
      <protection hidden="1"/>
    </xf>
    <xf numFmtId="0" fontId="13" fillId="4" borderId="0" xfId="0" applyFont="1" applyFill="1" applyAlignment="1" applyProtection="1">
      <alignment vertical="center"/>
      <protection hidden="1"/>
    </xf>
    <xf numFmtId="0" fontId="13" fillId="0" borderId="0" xfId="0" applyFont="1" applyAlignment="1" applyProtection="1">
      <alignment horizontal="right"/>
      <protection hidden="1"/>
    </xf>
    <xf numFmtId="0" fontId="14" fillId="0" borderId="0" xfId="0" applyFont="1" applyProtection="1">
      <protection hidden="1"/>
    </xf>
    <xf numFmtId="0" fontId="14" fillId="0" borderId="0" xfId="0" applyFont="1" applyAlignment="1" applyProtection="1">
      <alignment horizontal="right"/>
      <protection hidden="1"/>
    </xf>
    <xf numFmtId="0" fontId="13" fillId="0" borderId="0" xfId="0" applyFont="1" applyAlignment="1" applyProtection="1">
      <alignment horizontal="left"/>
      <protection hidden="1"/>
    </xf>
    <xf numFmtId="164" fontId="13" fillId="0" borderId="0" xfId="0" applyNumberFormat="1" applyFont="1" applyProtection="1">
      <protection hidden="1"/>
    </xf>
    <xf numFmtId="2" fontId="13" fillId="0" borderId="0" xfId="0" applyNumberFormat="1" applyFont="1" applyProtection="1">
      <protection hidden="1"/>
    </xf>
    <xf numFmtId="0" fontId="18" fillId="0" borderId="0" xfId="0" applyFont="1" applyProtection="1">
      <protection hidden="1"/>
    </xf>
    <xf numFmtId="0" fontId="13" fillId="0" borderId="0" xfId="0" applyFont="1" applyAlignment="1" applyProtection="1">
      <alignment vertical="center"/>
      <protection hidden="1"/>
    </xf>
    <xf numFmtId="0" fontId="14" fillId="0" borderId="0" xfId="0" applyFont="1" applyAlignment="1" applyProtection="1">
      <alignment horizontal="right" vertical="center"/>
      <protection hidden="1"/>
    </xf>
    <xf numFmtId="0" fontId="14" fillId="0" borderId="0" xfId="0" applyFont="1" applyAlignment="1" applyProtection="1">
      <alignment vertical="center"/>
      <protection hidden="1"/>
    </xf>
    <xf numFmtId="0" fontId="18" fillId="0" borderId="0" xfId="0" applyFont="1" applyAlignment="1" applyProtection="1">
      <alignment vertical="center"/>
      <protection hidden="1"/>
    </xf>
    <xf numFmtId="0" fontId="13" fillId="2" borderId="0" xfId="0" applyFont="1" applyFill="1" applyAlignment="1" applyProtection="1">
      <alignment horizontal="right" vertical="center"/>
      <protection hidden="1"/>
    </xf>
    <xf numFmtId="164" fontId="14" fillId="0" borderId="0" xfId="0" applyNumberFormat="1" applyFont="1" applyProtection="1">
      <protection hidden="1"/>
    </xf>
    <xf numFmtId="0" fontId="36" fillId="0" borderId="0" xfId="0" applyFont="1" applyAlignment="1" applyProtection="1">
      <alignment horizontal="right"/>
      <protection hidden="1"/>
    </xf>
    <xf numFmtId="0" fontId="13" fillId="2" borderId="0" xfId="0" applyFont="1" applyFill="1" applyAlignment="1" applyProtection="1">
      <alignment horizontal="center" vertical="center"/>
      <protection hidden="1"/>
    </xf>
    <xf numFmtId="0" fontId="13" fillId="2" borderId="32" xfId="0" applyFont="1" applyFill="1" applyBorder="1" applyAlignment="1" applyProtection="1">
      <alignment horizontal="center" vertical="center"/>
      <protection hidden="1"/>
    </xf>
    <xf numFmtId="0" fontId="29" fillId="0" borderId="0" xfId="1" applyFont="1" applyAlignment="1" applyProtection="1">
      <alignment wrapText="1"/>
      <protection hidden="1"/>
    </xf>
    <xf numFmtId="0" fontId="29" fillId="0" borderId="9" xfId="1" applyFont="1" applyBorder="1" applyAlignment="1" applyProtection="1">
      <alignment wrapText="1"/>
      <protection hidden="1"/>
    </xf>
    <xf numFmtId="0" fontId="29" fillId="0" borderId="0" xfId="1" applyFont="1" applyAlignment="1" applyProtection="1">
      <alignment horizontal="center" vertical="center" wrapText="1"/>
      <protection hidden="1"/>
    </xf>
    <xf numFmtId="0" fontId="39" fillId="0" borderId="5" xfId="1" applyFont="1" applyBorder="1" applyAlignment="1" applyProtection="1">
      <alignment horizontal="center" vertical="center" wrapText="1"/>
      <protection hidden="1"/>
    </xf>
    <xf numFmtId="0" fontId="39" fillId="0" borderId="6" xfId="1" applyFont="1" applyBorder="1" applyAlignment="1" applyProtection="1">
      <alignment horizontal="center" vertical="center" wrapText="1"/>
      <protection hidden="1"/>
    </xf>
    <xf numFmtId="0" fontId="39" fillId="0" borderId="7" xfId="1" applyFont="1" applyBorder="1" applyAlignment="1" applyProtection="1">
      <alignment horizontal="center" vertical="center" wrapText="1"/>
      <protection hidden="1"/>
    </xf>
    <xf numFmtId="0" fontId="36" fillId="0" borderId="0" xfId="1" applyFont="1" applyAlignment="1" applyProtection="1">
      <alignment wrapText="1"/>
      <protection hidden="1"/>
    </xf>
    <xf numFmtId="0" fontId="39" fillId="0" borderId="8" xfId="1" applyFont="1" applyBorder="1" applyAlignment="1" applyProtection="1">
      <alignment horizontal="center" vertical="center" wrapText="1"/>
      <protection hidden="1"/>
    </xf>
    <xf numFmtId="0" fontId="39" fillId="0" borderId="9" xfId="1" applyFont="1" applyBorder="1" applyAlignment="1" applyProtection="1">
      <alignment horizontal="center" vertical="center" wrapText="1"/>
      <protection hidden="1"/>
    </xf>
    <xf numFmtId="0" fontId="39" fillId="0" borderId="10" xfId="1" applyFont="1" applyBorder="1" applyAlignment="1" applyProtection="1">
      <alignment horizontal="center" vertical="center" wrapText="1"/>
      <protection hidden="1"/>
    </xf>
    <xf numFmtId="0" fontId="36" fillId="0" borderId="33" xfId="1" applyFont="1" applyBorder="1" applyAlignment="1" applyProtection="1">
      <alignment horizontal="center" vertical="center" wrapText="1"/>
      <protection hidden="1"/>
    </xf>
    <xf numFmtId="0" fontId="36" fillId="0" borderId="0" xfId="1" applyFont="1" applyAlignment="1" applyProtection="1">
      <alignment horizontal="center" vertical="center" wrapText="1"/>
      <protection hidden="1"/>
    </xf>
    <xf numFmtId="0" fontId="39" fillId="0" borderId="0" xfId="1" applyFont="1" applyAlignment="1" applyProtection="1">
      <alignment horizontal="center" wrapText="1"/>
      <protection hidden="1"/>
    </xf>
    <xf numFmtId="0" fontId="36" fillId="0" borderId="0" xfId="1" applyFont="1" applyAlignment="1" applyProtection="1">
      <alignment vertical="center" wrapText="1"/>
      <protection hidden="1"/>
    </xf>
    <xf numFmtId="0" fontId="39" fillId="0" borderId="0" xfId="1" applyFont="1" applyAlignment="1" applyProtection="1">
      <alignment horizontal="center" vertical="center" wrapText="1"/>
      <protection hidden="1"/>
    </xf>
    <xf numFmtId="0" fontId="29" fillId="0" borderId="0" xfId="1" applyFont="1" applyAlignment="1" applyProtection="1">
      <alignment vertical="center" wrapText="1"/>
      <protection hidden="1"/>
    </xf>
    <xf numFmtId="0" fontId="36" fillId="0" borderId="0" xfId="1" applyFont="1" applyAlignment="1" applyProtection="1">
      <alignment vertical="top" wrapText="1"/>
      <protection hidden="1"/>
    </xf>
    <xf numFmtId="0" fontId="39" fillId="0" borderId="1" xfId="1" applyFont="1" applyBorder="1" applyAlignment="1" applyProtection="1">
      <alignment horizontal="center" vertical="center" wrapText="1"/>
      <protection hidden="1"/>
    </xf>
    <xf numFmtId="0" fontId="39" fillId="0" borderId="4" xfId="1" applyFont="1" applyBorder="1" applyAlignment="1" applyProtection="1">
      <alignment horizontal="center" vertical="center" wrapText="1"/>
      <protection hidden="1"/>
    </xf>
    <xf numFmtId="0" fontId="14" fillId="0" borderId="0" xfId="0" applyFont="1"/>
    <xf numFmtId="0" fontId="14" fillId="0" borderId="0" xfId="0" applyFont="1" applyAlignment="1">
      <alignment horizontal="right"/>
    </xf>
    <xf numFmtId="0" fontId="14" fillId="0" borderId="0" xfId="0" applyFont="1" applyAlignment="1">
      <alignment horizontal="left"/>
    </xf>
    <xf numFmtId="0" fontId="50" fillId="0" borderId="6" xfId="0" applyFont="1" applyBorder="1" applyAlignment="1" applyProtection="1">
      <alignment horizontal="center"/>
      <protection hidden="1"/>
    </xf>
    <xf numFmtId="0" fontId="3" fillId="0" borderId="0" xfId="0" applyFont="1" applyAlignment="1" applyProtection="1">
      <alignment horizontal="left" vertical="center"/>
      <protection hidden="1"/>
    </xf>
    <xf numFmtId="0" fontId="7" fillId="0" borderId="0" xfId="0" applyFont="1" applyAlignment="1" applyProtection="1">
      <alignment horizontal="center"/>
      <protection hidden="1"/>
    </xf>
    <xf numFmtId="0" fontId="50" fillId="0" borderId="5" xfId="0" applyFont="1" applyBorder="1" applyAlignment="1" applyProtection="1">
      <alignment horizontal="center"/>
      <protection hidden="1"/>
    </xf>
    <xf numFmtId="0" fontId="50" fillId="0" borderId="7" xfId="0" applyFont="1" applyBorder="1" applyAlignment="1" applyProtection="1">
      <alignment horizontal="center"/>
      <protection hidden="1"/>
    </xf>
    <xf numFmtId="0" fontId="20" fillId="0" borderId="0" xfId="0" applyFont="1" applyAlignment="1" applyProtection="1">
      <alignment horizontal="left" vertical="center" wrapText="1"/>
      <protection hidden="1"/>
    </xf>
    <xf numFmtId="0" fontId="20" fillId="0" borderId="0" xfId="0" applyFont="1" applyAlignment="1" applyProtection="1">
      <alignment horizontal="left" wrapText="1"/>
      <protection hidden="1"/>
    </xf>
    <xf numFmtId="0" fontId="7" fillId="0" borderId="0" xfId="0" applyFont="1" applyAlignment="1" applyProtection="1">
      <alignment horizontal="left" vertical="center" wrapText="1"/>
      <protection hidden="1"/>
    </xf>
    <xf numFmtId="0" fontId="32" fillId="0" borderId="25" xfId="0" applyFont="1" applyBorder="1" applyAlignment="1" applyProtection="1">
      <alignment horizontal="center" vertical="center" wrapText="1"/>
      <protection hidden="1"/>
    </xf>
    <xf numFmtId="0" fontId="32" fillId="0" borderId="35" xfId="0" applyFont="1" applyBorder="1" applyAlignment="1" applyProtection="1">
      <alignment horizontal="center" vertical="center" wrapText="1"/>
      <protection hidden="1"/>
    </xf>
    <xf numFmtId="0" fontId="32" fillId="0" borderId="22" xfId="0" applyFont="1" applyBorder="1" applyAlignment="1" applyProtection="1">
      <alignment horizontal="center" vertical="center" wrapText="1"/>
      <protection hidden="1"/>
    </xf>
    <xf numFmtId="0" fontId="32" fillId="0" borderId="31" xfId="0" applyFont="1" applyBorder="1" applyAlignment="1" applyProtection="1">
      <alignment horizontal="center" vertical="center" wrapText="1"/>
      <protection hidden="1"/>
    </xf>
    <xf numFmtId="164" fontId="2" fillId="0" borderId="0" xfId="0" applyNumberFormat="1" applyFont="1" applyAlignment="1" applyProtection="1">
      <alignment horizontal="center" vertical="center"/>
      <protection hidden="1"/>
    </xf>
    <xf numFmtId="0" fontId="2" fillId="0" borderId="0" xfId="0" applyFont="1" applyAlignment="1" applyProtection="1">
      <alignment horizontal="center" vertical="center"/>
      <protection hidden="1"/>
    </xf>
    <xf numFmtId="164" fontId="2" fillId="0" borderId="22" xfId="0" applyNumberFormat="1" applyFont="1" applyBorder="1" applyAlignment="1" applyProtection="1">
      <alignment horizontal="center" vertical="center" wrapText="1"/>
      <protection hidden="1"/>
    </xf>
    <xf numFmtId="0" fontId="2" fillId="0" borderId="31" xfId="0" applyFont="1" applyBorder="1" applyAlignment="1" applyProtection="1">
      <alignment horizontal="center" vertical="center" wrapText="1"/>
      <protection hidden="1"/>
    </xf>
    <xf numFmtId="0" fontId="2" fillId="0" borderId="29" xfId="0" applyFont="1" applyBorder="1" applyAlignment="1" applyProtection="1">
      <alignment horizontal="center" vertical="center" wrapText="1"/>
      <protection hidden="1"/>
    </xf>
    <xf numFmtId="0" fontId="2" fillId="0" borderId="34" xfId="0" applyFont="1" applyBorder="1" applyAlignment="1" applyProtection="1">
      <alignment horizontal="center" vertical="center" wrapText="1"/>
      <protection hidden="1"/>
    </xf>
    <xf numFmtId="0" fontId="9" fillId="0" borderId="0" xfId="0" applyFont="1" applyAlignment="1" applyProtection="1">
      <alignment horizontal="center"/>
      <protection hidden="1"/>
    </xf>
    <xf numFmtId="0" fontId="9" fillId="0" borderId="22" xfId="0" applyFont="1" applyBorder="1" applyAlignment="1" applyProtection="1">
      <alignment horizontal="center"/>
      <protection hidden="1"/>
    </xf>
    <xf numFmtId="0" fontId="9" fillId="0" borderId="23" xfId="0" applyFont="1" applyBorder="1" applyAlignment="1" applyProtection="1">
      <alignment horizontal="center"/>
      <protection hidden="1"/>
    </xf>
    <xf numFmtId="0" fontId="7" fillId="0" borderId="0" xfId="0" applyFont="1" applyAlignment="1" applyProtection="1">
      <alignment vertical="center" wrapText="1"/>
      <protection hidden="1"/>
    </xf>
    <xf numFmtId="0" fontId="7" fillId="0" borderId="0" xfId="0" applyFont="1" applyAlignment="1" applyProtection="1">
      <alignment vertical="center"/>
      <protection hidden="1"/>
    </xf>
    <xf numFmtId="0" fontId="8" fillId="5" borderId="0" xfId="0" applyFont="1" applyFill="1" applyAlignment="1" applyProtection="1">
      <alignment horizontal="center" vertical="center"/>
      <protection hidden="1"/>
    </xf>
    <xf numFmtId="0" fontId="8" fillId="5" borderId="0" xfId="0" applyFont="1" applyFill="1" applyAlignment="1" applyProtection="1">
      <alignment horizontal="left" vertical="center"/>
      <protection hidden="1"/>
    </xf>
    <xf numFmtId="0" fontId="9" fillId="0" borderId="12" xfId="0" applyFont="1" applyBorder="1" applyAlignment="1" applyProtection="1">
      <alignment horizontal="center" vertical="center" wrapText="1"/>
      <protection hidden="1"/>
    </xf>
    <xf numFmtId="0" fontId="9" fillId="0" borderId="0" xfId="0" applyFont="1" applyAlignment="1" applyProtection="1">
      <alignment horizontal="center" wrapText="1"/>
      <protection hidden="1"/>
    </xf>
    <xf numFmtId="0" fontId="9" fillId="0" borderId="12" xfId="0" applyFont="1" applyBorder="1" applyAlignment="1" applyProtection="1">
      <alignment horizontal="center" wrapText="1"/>
      <protection hidden="1"/>
    </xf>
    <xf numFmtId="0" fontId="3" fillId="4" borderId="0" xfId="0" applyFont="1" applyFill="1" applyAlignment="1" applyProtection="1">
      <alignment horizontal="left" vertical="center"/>
      <protection hidden="1"/>
    </xf>
    <xf numFmtId="0" fontId="9" fillId="0" borderId="0" xfId="0" applyFont="1" applyAlignment="1" applyProtection="1">
      <alignment horizontal="center" vertical="center" wrapText="1"/>
      <protection hidden="1"/>
    </xf>
    <xf numFmtId="0" fontId="3" fillId="0" borderId="17" xfId="0" applyFont="1" applyBorder="1" applyAlignment="1" applyProtection="1">
      <alignment horizontal="center" vertical="center"/>
      <protection hidden="1"/>
    </xf>
    <xf numFmtId="0" fontId="3" fillId="0" borderId="11" xfId="0" applyFont="1" applyBorder="1" applyAlignment="1" applyProtection="1">
      <alignment horizontal="center" vertical="center"/>
      <protection hidden="1"/>
    </xf>
    <xf numFmtId="0" fontId="3" fillId="0" borderId="0" xfId="0" applyFont="1" applyAlignment="1" applyProtection="1">
      <alignment horizontal="center" vertical="center"/>
      <protection hidden="1"/>
    </xf>
    <xf numFmtId="0" fontId="3" fillId="0" borderId="0" xfId="0" applyFont="1" applyAlignment="1" applyProtection="1">
      <alignment horizontal="center" vertical="center" wrapText="1"/>
      <protection hidden="1"/>
    </xf>
    <xf numFmtId="0" fontId="3" fillId="0" borderId="18" xfId="0" applyFont="1" applyBorder="1" applyAlignment="1" applyProtection="1">
      <alignment horizontal="center" vertical="center"/>
      <protection hidden="1"/>
    </xf>
    <xf numFmtId="0" fontId="3" fillId="0" borderId="12" xfId="0" applyFont="1" applyBorder="1" applyAlignment="1" applyProtection="1">
      <alignment horizontal="center" vertical="center"/>
      <protection hidden="1"/>
    </xf>
    <xf numFmtId="0" fontId="3" fillId="0" borderId="16" xfId="0" applyFont="1" applyBorder="1" applyAlignment="1" applyProtection="1">
      <alignment horizontal="center" vertical="center"/>
      <protection hidden="1"/>
    </xf>
    <xf numFmtId="0" fontId="3" fillId="0" borderId="15" xfId="0" quotePrefix="1" applyFont="1" applyBorder="1" applyAlignment="1" applyProtection="1">
      <alignment horizontal="center" vertical="center"/>
      <protection hidden="1"/>
    </xf>
    <xf numFmtId="0" fontId="3" fillId="0" borderId="12" xfId="0" quotePrefix="1" applyFont="1" applyBorder="1" applyAlignment="1" applyProtection="1">
      <alignment horizontal="center" vertical="center"/>
      <protection hidden="1"/>
    </xf>
    <xf numFmtId="0" fontId="32" fillId="0" borderId="0" xfId="0" applyFont="1" applyAlignment="1" applyProtection="1">
      <alignment horizontal="center" vertical="center" textRotation="90"/>
      <protection hidden="1"/>
    </xf>
    <xf numFmtId="0" fontId="32" fillId="0" borderId="0" xfId="0" applyFont="1" applyAlignment="1" applyProtection="1">
      <alignment horizontal="center" vertical="center" wrapText="1"/>
      <protection hidden="1"/>
    </xf>
    <xf numFmtId="0" fontId="32" fillId="0" borderId="23" xfId="0" applyFont="1" applyBorder="1" applyAlignment="1" applyProtection="1">
      <alignment horizontal="center" vertical="center" wrapText="1"/>
      <protection hidden="1"/>
    </xf>
    <xf numFmtId="0" fontId="53" fillId="0" borderId="0" xfId="0" applyFont="1" applyAlignment="1" applyProtection="1">
      <alignment horizontal="center" vertical="center"/>
      <protection hidden="1"/>
    </xf>
    <xf numFmtId="0" fontId="3" fillId="0" borderId="13" xfId="0" applyFont="1" applyBorder="1" applyAlignment="1" applyProtection="1">
      <alignment horizontal="center" vertical="center"/>
      <protection hidden="1"/>
    </xf>
    <xf numFmtId="0" fontId="3" fillId="0" borderId="13" xfId="0" applyFont="1" applyBorder="1" applyAlignment="1" applyProtection="1">
      <alignment horizontal="center" vertical="center" wrapText="1"/>
      <protection hidden="1"/>
    </xf>
    <xf numFmtId="0" fontId="3" fillId="2" borderId="0" xfId="0" applyFont="1" applyFill="1" applyAlignment="1" applyProtection="1">
      <alignment horizontal="left"/>
      <protection hidden="1"/>
    </xf>
    <xf numFmtId="0" fontId="3" fillId="0" borderId="14" xfId="0" applyFont="1" applyBorder="1" applyAlignment="1" applyProtection="1">
      <alignment horizontal="center" vertical="center"/>
      <protection hidden="1"/>
    </xf>
    <xf numFmtId="0" fontId="32" fillId="0" borderId="22" xfId="0" applyFont="1" applyBorder="1" applyAlignment="1" applyProtection="1">
      <alignment horizontal="center"/>
      <protection hidden="1"/>
    </xf>
    <xf numFmtId="0" fontId="32" fillId="0" borderId="0" xfId="0" applyFont="1" applyAlignment="1" applyProtection="1">
      <alignment horizontal="center"/>
      <protection hidden="1"/>
    </xf>
    <xf numFmtId="0" fontId="32" fillId="0" borderId="23" xfId="0" applyFont="1" applyBorder="1" applyAlignment="1" applyProtection="1">
      <alignment horizontal="center"/>
      <protection hidden="1"/>
    </xf>
    <xf numFmtId="0" fontId="32" fillId="0" borderId="0" xfId="0" applyFont="1" applyAlignment="1" applyProtection="1">
      <alignment horizontal="center" vertical="center" textRotation="90" wrapText="1"/>
      <protection hidden="1"/>
    </xf>
    <xf numFmtId="0" fontId="3" fillId="0" borderId="0" xfId="0" applyFont="1" applyAlignment="1" applyProtection="1">
      <alignment horizontal="center"/>
      <protection hidden="1"/>
    </xf>
    <xf numFmtId="0" fontId="51" fillId="0" borderId="0" xfId="0" applyFont="1" applyAlignment="1" applyProtection="1">
      <alignment horizontal="center"/>
      <protection hidden="1"/>
    </xf>
    <xf numFmtId="0" fontId="52" fillId="0" borderId="0" xfId="0" applyFont="1" applyAlignment="1" applyProtection="1">
      <alignment horizontal="center" vertical="center"/>
      <protection hidden="1"/>
    </xf>
    <xf numFmtId="0" fontId="10" fillId="0" borderId="0" xfId="0" applyFont="1" applyAlignment="1" applyProtection="1">
      <alignment horizontal="center" vertical="center"/>
      <protection hidden="1"/>
    </xf>
    <xf numFmtId="0" fontId="22" fillId="0" borderId="0" xfId="0" applyFont="1" applyAlignment="1" applyProtection="1">
      <alignment horizontal="center" vertical="center"/>
      <protection hidden="1"/>
    </xf>
    <xf numFmtId="14" fontId="21" fillId="0" borderId="0" xfId="0" applyNumberFormat="1" applyFont="1" applyAlignment="1" applyProtection="1">
      <alignment horizontal="center" vertical="center"/>
      <protection locked="0" hidden="1"/>
    </xf>
    <xf numFmtId="14" fontId="21" fillId="2" borderId="0" xfId="0" applyNumberFormat="1" applyFont="1" applyFill="1" applyAlignment="1" applyProtection="1">
      <alignment horizontal="center" vertical="center"/>
      <protection locked="0" hidden="1"/>
    </xf>
    <xf numFmtId="14" fontId="7" fillId="2" borderId="0" xfId="0" applyNumberFormat="1" applyFont="1" applyFill="1" applyAlignment="1" applyProtection="1">
      <alignment horizontal="center" vertical="center"/>
      <protection hidden="1"/>
    </xf>
    <xf numFmtId="0" fontId="32" fillId="0" borderId="0" xfId="0" applyFont="1" applyAlignment="1" applyProtection="1">
      <alignment horizontal="left" vertical="center" wrapText="1"/>
      <protection hidden="1"/>
    </xf>
    <xf numFmtId="0" fontId="3" fillId="0" borderId="15" xfId="0" applyFont="1" applyBorder="1" applyAlignment="1" applyProtection="1">
      <alignment horizontal="center" vertical="center"/>
      <protection hidden="1"/>
    </xf>
    <xf numFmtId="0" fontId="3" fillId="0" borderId="16" xfId="0" quotePrefix="1" applyFont="1" applyBorder="1" applyAlignment="1" applyProtection="1">
      <alignment horizontal="center" vertical="center"/>
      <protection hidden="1"/>
    </xf>
    <xf numFmtId="0" fontId="2" fillId="0" borderId="13" xfId="0" applyFont="1" applyBorder="1" applyAlignment="1" applyProtection="1">
      <alignment horizontal="center" vertical="center"/>
      <protection hidden="1"/>
    </xf>
    <xf numFmtId="0" fontId="2" fillId="7" borderId="0" xfId="0" applyFont="1" applyFill="1" applyAlignment="1" applyProtection="1">
      <alignment horizontal="left"/>
      <protection hidden="1"/>
    </xf>
    <xf numFmtId="0" fontId="3" fillId="0" borderId="2" xfId="0" applyFont="1" applyBorder="1" applyAlignment="1" applyProtection="1">
      <alignment horizontal="center"/>
      <protection hidden="1"/>
    </xf>
    <xf numFmtId="0" fontId="10" fillId="0" borderId="0" xfId="0" applyFont="1" applyAlignment="1" applyProtection="1">
      <alignment horizontal="left" vertical="center" wrapText="1"/>
      <protection hidden="1"/>
    </xf>
    <xf numFmtId="0" fontId="54" fillId="6" borderId="0" xfId="0" applyFont="1" applyFill="1" applyAlignment="1" applyProtection="1">
      <alignment horizontal="center"/>
      <protection hidden="1"/>
    </xf>
    <xf numFmtId="0" fontId="36" fillId="0" borderId="33" xfId="1" applyFont="1" applyBorder="1" applyAlignment="1" applyProtection="1">
      <alignment horizontal="center" vertical="center" wrapText="1"/>
      <protection hidden="1"/>
    </xf>
    <xf numFmtId="0" fontId="36" fillId="0" borderId="0" xfId="1" applyFont="1" applyAlignment="1" applyProtection="1">
      <alignment horizontal="center" vertical="center" wrapText="1"/>
      <protection hidden="1"/>
    </xf>
    <xf numFmtId="0" fontId="39" fillId="0" borderId="5" xfId="1" applyFont="1" applyBorder="1" applyAlignment="1" applyProtection="1">
      <alignment horizontal="center" vertical="center" wrapText="1"/>
      <protection hidden="1"/>
    </xf>
    <xf numFmtId="0" fontId="39" fillId="0" borderId="7" xfId="1" applyFont="1" applyBorder="1" applyAlignment="1" applyProtection="1">
      <alignment horizontal="center" vertical="center" wrapText="1"/>
      <protection hidden="1"/>
    </xf>
    <xf numFmtId="0" fontId="36" fillId="0" borderId="0" xfId="1" applyFont="1" applyAlignment="1" applyProtection="1">
      <alignment horizontal="left" vertical="center" wrapText="1"/>
      <protection hidden="1"/>
    </xf>
    <xf numFmtId="0" fontId="36" fillId="0" borderId="0" xfId="1" applyFont="1" applyAlignment="1" applyProtection="1">
      <alignment horizontal="center" vertical="center"/>
      <protection hidden="1"/>
    </xf>
    <xf numFmtId="0" fontId="49" fillId="0" borderId="0" xfId="1" applyFont="1" applyAlignment="1" applyProtection="1">
      <alignment horizontal="center" vertical="center" textRotation="90" wrapText="1"/>
      <protection hidden="1"/>
    </xf>
    <xf numFmtId="0" fontId="29" fillId="0" borderId="0" xfId="1" applyFont="1" applyAlignment="1" applyProtection="1">
      <alignment horizontal="center" vertical="center" wrapText="1"/>
      <protection hidden="1"/>
    </xf>
    <xf numFmtId="0" fontId="36" fillId="0" borderId="6" xfId="1" applyFont="1" applyBorder="1" applyAlignment="1" applyProtection="1">
      <alignment horizontal="center" vertical="center" wrapText="1"/>
      <protection hidden="1"/>
    </xf>
    <xf numFmtId="0" fontId="55" fillId="5" borderId="0" xfId="1" applyFont="1" applyFill="1" applyAlignment="1" applyProtection="1">
      <alignment horizontal="center" wrapText="1"/>
      <protection hidden="1"/>
    </xf>
    <xf numFmtId="0" fontId="7" fillId="0" borderId="13" xfId="0" applyFont="1" applyBorder="1" applyAlignment="1">
      <alignment horizontal="center" vertical="center" wrapText="1"/>
    </xf>
    <xf numFmtId="0" fontId="7" fillId="0" borderId="14" xfId="0" applyFont="1" applyBorder="1" applyAlignment="1">
      <alignment horizontal="center" vertical="center"/>
    </xf>
    <xf numFmtId="0" fontId="3" fillId="0" borderId="11" xfId="0" applyFont="1" applyBorder="1" applyAlignment="1">
      <alignment horizontal="center"/>
    </xf>
    <xf numFmtId="0" fontId="54" fillId="6" borderId="0" xfId="0" applyFont="1" applyFill="1" applyAlignment="1">
      <alignment horizontal="center"/>
    </xf>
    <xf numFmtId="0" fontId="42" fillId="6" borderId="15" xfId="0" applyFont="1" applyFill="1" applyBorder="1" applyAlignment="1">
      <alignment horizontal="center" vertical="center" wrapText="1"/>
    </xf>
    <xf numFmtId="0" fontId="42" fillId="6" borderId="12" xfId="0" applyFont="1" applyFill="1" applyBorder="1" applyAlignment="1">
      <alignment horizontal="center" vertical="center" wrapText="1"/>
    </xf>
    <xf numFmtId="0" fontId="42" fillId="6" borderId="16" xfId="0" applyFont="1" applyFill="1" applyBorder="1" applyAlignment="1">
      <alignment horizontal="center" vertical="center" wrapText="1"/>
    </xf>
    <xf numFmtId="0" fontId="7" fillId="0" borderId="11" xfId="0" applyFont="1" applyBorder="1" applyAlignment="1">
      <alignment horizontal="left" vertical="center" wrapText="1"/>
    </xf>
    <xf numFmtId="0" fontId="7" fillId="0" borderId="0" xfId="0" applyFont="1" applyAlignment="1">
      <alignment horizontal="left" vertical="center" wrapText="1"/>
    </xf>
    <xf numFmtId="0" fontId="42" fillId="6" borderId="36" xfId="0" applyFont="1" applyFill="1" applyBorder="1" applyAlignment="1">
      <alignment horizontal="center" vertical="center" wrapText="1"/>
    </xf>
    <xf numFmtId="0" fontId="42" fillId="6" borderId="32" xfId="0" applyFont="1" applyFill="1" applyBorder="1" applyAlignment="1">
      <alignment horizontal="center" vertical="center" wrapText="1"/>
    </xf>
    <xf numFmtId="0" fontId="42" fillId="6" borderId="21" xfId="0" applyFont="1" applyFill="1" applyBorder="1" applyAlignment="1">
      <alignment horizontal="center" vertical="center" textRotation="90" wrapText="1"/>
    </xf>
    <xf numFmtId="0" fontId="42" fillId="6" borderId="37" xfId="0" applyFont="1" applyFill="1" applyBorder="1" applyAlignment="1">
      <alignment horizontal="center" vertical="center" textRotation="90" wrapText="1"/>
    </xf>
    <xf numFmtId="0" fontId="42" fillId="6" borderId="38" xfId="0" applyFont="1" applyFill="1" applyBorder="1" applyAlignment="1">
      <alignment horizontal="center" vertical="center" textRotation="90" wrapText="1"/>
    </xf>
    <xf numFmtId="0" fontId="42" fillId="6" borderId="17" xfId="0" applyFont="1" applyFill="1" applyBorder="1" applyAlignment="1">
      <alignment horizontal="center" vertical="center" textRotation="90" wrapText="1"/>
    </xf>
    <xf numFmtId="0" fontId="42" fillId="6" borderId="13" xfId="0" applyFont="1" applyFill="1" applyBorder="1" applyAlignment="1">
      <alignment horizontal="center" vertical="center" textRotation="90" wrapText="1"/>
    </xf>
    <xf numFmtId="0" fontId="7" fillId="0" borderId="13" xfId="0" applyFont="1" applyBorder="1" applyAlignment="1">
      <alignment horizontal="right" vertical="center" wrapText="1"/>
    </xf>
    <xf numFmtId="0" fontId="7" fillId="0" borderId="0" xfId="0" applyFont="1" applyAlignment="1">
      <alignment horizontal="center" vertical="center"/>
    </xf>
  </cellXfs>
  <cellStyles count="3">
    <cellStyle name="Normal" xfId="0" builtinId="0"/>
    <cellStyle name="Normal 2" xfId="1" xr:uid="{00000000-0005-0000-0000-000001000000}"/>
    <cellStyle name="Normal 3" xfId="2" xr:uid="{00000000-0005-0000-0000-000002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DDDDDD"/>
      <rgbColor rgb="00FFFFFF"/>
      <rgbColor rgb="00DD0806"/>
      <rgbColor rgb="001FB714"/>
      <rgbColor rgb="000000D4"/>
      <rgbColor rgb="00FCF305"/>
      <rgbColor rgb="00F20884"/>
      <rgbColor rgb="00AAC5FF"/>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chartsheet" Target="chartsheets/sheet2.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5.xml"/><Relationship Id="rId11" Type="http://schemas.openxmlformats.org/officeDocument/2006/relationships/theme" Target="theme/theme1.xml"/><Relationship Id="rId5" Type="http://schemas.openxmlformats.org/officeDocument/2006/relationships/chartsheet" Target="chartsheets/sheet1.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alcChain" Target="calcChain.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1"/>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339966"/>
                </a:solidFill>
                <a:latin typeface="Arial"/>
                <a:ea typeface="Arial"/>
                <a:cs typeface="Arial"/>
              </a:defRPr>
            </a:pPr>
            <a:r>
              <a:rPr lang="en-US">
                <a:solidFill>
                  <a:srgbClr val="0070C0"/>
                </a:solidFill>
              </a:rPr>
              <a:t>WAIS-IV Subtest Scaled Score Profile</a:t>
            </a:r>
          </a:p>
        </c:rich>
      </c:tx>
      <c:layout>
        <c:manualLayout>
          <c:xMode val="edge"/>
          <c:yMode val="edge"/>
          <c:x val="0.33890746934225197"/>
          <c:y val="1.9639934533551555E-2"/>
        </c:manualLayout>
      </c:layout>
      <c:overlay val="0"/>
      <c:spPr>
        <a:noFill/>
        <a:ln w="25400">
          <a:noFill/>
        </a:ln>
      </c:spPr>
    </c:title>
    <c:autoTitleDeleted val="0"/>
    <c:plotArea>
      <c:layout>
        <c:manualLayout>
          <c:layoutTarget val="inner"/>
          <c:xMode val="edge"/>
          <c:yMode val="edge"/>
          <c:x val="0.14046822742474918"/>
          <c:y val="9.9836333878887101E-2"/>
          <c:w val="0.73913043478260854"/>
          <c:h val="0.56464811783960733"/>
        </c:manualLayout>
      </c:layout>
      <c:lineChart>
        <c:grouping val="standar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multiLvlStrRef>
              <c:f>'WAIS-IV'!$B$117:$D$134</c:f>
              <c:multiLvlStrCache>
                <c:ptCount val="18"/>
                <c:lvl>
                  <c:pt idx="0">
                    <c:v>Similarities</c:v>
                  </c:pt>
                  <c:pt idx="1">
                    <c:v>Vocabulary</c:v>
                  </c:pt>
                  <c:pt idx="2">
                    <c:v>Information</c:v>
                  </c:pt>
                  <c:pt idx="3">
                    <c:v>Comprehension</c:v>
                  </c:pt>
                  <c:pt idx="5">
                    <c:v>Block Design</c:v>
                  </c:pt>
                  <c:pt idx="6">
                    <c:v>Matrix Reasoning</c:v>
                  </c:pt>
                  <c:pt idx="7">
                    <c:v>Visual Puzzles</c:v>
                  </c:pt>
                  <c:pt idx="8">
                    <c:v>Figure Weights</c:v>
                  </c:pt>
                  <c:pt idx="9">
                    <c:v>Picture Completion</c:v>
                  </c:pt>
                  <c:pt idx="11">
                    <c:v>Digit Span</c:v>
                  </c:pt>
                  <c:pt idx="12">
                    <c:v>Arithmetic</c:v>
                  </c:pt>
                  <c:pt idx="13">
                    <c:v>Letter-Number Sequence</c:v>
                  </c:pt>
                  <c:pt idx="15">
                    <c:v>Symbol Search</c:v>
                  </c:pt>
                  <c:pt idx="16">
                    <c:v>Coding</c:v>
                  </c:pt>
                  <c:pt idx="17">
                    <c:v>Cancellation</c:v>
                  </c:pt>
                </c:lvl>
                <c:lvl/>
                <c:lvl>
                  <c:pt idx="0">
                    <c:v>Verbal</c:v>
                  </c:pt>
                  <c:pt idx="6">
                    <c:v>Perceptual</c:v>
                  </c:pt>
                  <c:pt idx="11">
                    <c:v>WM</c:v>
                  </c:pt>
                  <c:pt idx="15">
                    <c:v>Pr.  Spd.</c:v>
                  </c:pt>
                </c:lvl>
              </c:multiLvlStrCache>
            </c:multiLvlStrRef>
          </c:cat>
          <c:val>
            <c:numRef>
              <c:f>'WAIS-IV'!$E$117:$E$134</c:f>
              <c:numCache>
                <c:formatCode>General</c:formatCode>
                <c:ptCount val="18"/>
              </c:numCache>
            </c:numRef>
          </c:val>
          <c:smooth val="0"/>
          <c:extLst>
            <c:ext xmlns:c16="http://schemas.microsoft.com/office/drawing/2014/chart" uri="{C3380CC4-5D6E-409C-BE32-E72D297353CC}">
              <c16:uniqueId val="{00000000-13C7-404F-A0D0-5B444E8CC7A0}"/>
            </c:ext>
          </c:extLst>
        </c:ser>
        <c:ser>
          <c:idx val="1"/>
          <c:order val="1"/>
          <c:spPr>
            <a:ln w="28575">
              <a:noFill/>
            </a:ln>
          </c:spPr>
          <c:marker>
            <c:symbol val="circle"/>
            <c:size val="7"/>
            <c:spPr>
              <a:solidFill>
                <a:schemeClr val="tx2"/>
              </a:solidFill>
              <a:ln>
                <a:solidFill>
                  <a:srgbClr val="339966"/>
                </a:solidFill>
                <a:prstDash val="solid"/>
              </a:ln>
            </c:spPr>
          </c:marker>
          <c:cat>
            <c:multiLvlStrRef>
              <c:f>'WAIS-IV'!$B$117:$D$134</c:f>
              <c:multiLvlStrCache>
                <c:ptCount val="18"/>
                <c:lvl>
                  <c:pt idx="0">
                    <c:v>Similarities</c:v>
                  </c:pt>
                  <c:pt idx="1">
                    <c:v>Vocabulary</c:v>
                  </c:pt>
                  <c:pt idx="2">
                    <c:v>Information</c:v>
                  </c:pt>
                  <c:pt idx="3">
                    <c:v>Comprehension</c:v>
                  </c:pt>
                  <c:pt idx="5">
                    <c:v>Block Design</c:v>
                  </c:pt>
                  <c:pt idx="6">
                    <c:v>Matrix Reasoning</c:v>
                  </c:pt>
                  <c:pt idx="7">
                    <c:v>Visual Puzzles</c:v>
                  </c:pt>
                  <c:pt idx="8">
                    <c:v>Figure Weights</c:v>
                  </c:pt>
                  <c:pt idx="9">
                    <c:v>Picture Completion</c:v>
                  </c:pt>
                  <c:pt idx="11">
                    <c:v>Digit Span</c:v>
                  </c:pt>
                  <c:pt idx="12">
                    <c:v>Arithmetic</c:v>
                  </c:pt>
                  <c:pt idx="13">
                    <c:v>Letter-Number Sequence</c:v>
                  </c:pt>
                  <c:pt idx="15">
                    <c:v>Symbol Search</c:v>
                  </c:pt>
                  <c:pt idx="16">
                    <c:v>Coding</c:v>
                  </c:pt>
                  <c:pt idx="17">
                    <c:v>Cancellation</c:v>
                  </c:pt>
                </c:lvl>
                <c:lvl/>
                <c:lvl>
                  <c:pt idx="0">
                    <c:v>Verbal</c:v>
                  </c:pt>
                  <c:pt idx="6">
                    <c:v>Perceptual</c:v>
                  </c:pt>
                  <c:pt idx="11">
                    <c:v>WM</c:v>
                  </c:pt>
                  <c:pt idx="15">
                    <c:v>Pr.  Spd.</c:v>
                  </c:pt>
                </c:lvl>
              </c:multiLvlStrCache>
            </c:multiLvlStrRef>
          </c:cat>
          <c:val>
            <c:numRef>
              <c:f>'WAIS-IV'!$F$117:$F$134</c:f>
              <c:numCache>
                <c:formatCode>General</c:formatCode>
                <c:ptCount val="18"/>
                <c:pt idx="0">
                  <c:v>16</c:v>
                </c:pt>
                <c:pt idx="1">
                  <c:v>11</c:v>
                </c:pt>
                <c:pt idx="2">
                  <c:v>12</c:v>
                </c:pt>
                <c:pt idx="3">
                  <c:v>12</c:v>
                </c:pt>
                <c:pt idx="5">
                  <c:v>10</c:v>
                </c:pt>
                <c:pt idx="6">
                  <c:v>16</c:v>
                </c:pt>
                <c:pt idx="7">
                  <c:v>9</c:v>
                </c:pt>
                <c:pt idx="8">
                  <c:v>16</c:v>
                </c:pt>
                <c:pt idx="9">
                  <c:v>10</c:v>
                </c:pt>
                <c:pt idx="11">
                  <c:v>12</c:v>
                </c:pt>
                <c:pt idx="12">
                  <c:v>16</c:v>
                </c:pt>
                <c:pt idx="13">
                  <c:v>11</c:v>
                </c:pt>
                <c:pt idx="15">
                  <c:v>10</c:v>
                </c:pt>
                <c:pt idx="16">
                  <c:v>5</c:v>
                </c:pt>
                <c:pt idx="17">
                  <c:v>7</c:v>
                </c:pt>
              </c:numCache>
            </c:numRef>
          </c:val>
          <c:smooth val="0"/>
          <c:extLst>
            <c:ext xmlns:c16="http://schemas.microsoft.com/office/drawing/2014/chart" uri="{C3380CC4-5D6E-409C-BE32-E72D297353CC}">
              <c16:uniqueId val="{00000001-13C7-404F-A0D0-5B444E8CC7A0}"/>
            </c:ext>
          </c:extLst>
        </c:ser>
        <c:dLbls>
          <c:showLegendKey val="0"/>
          <c:showVal val="0"/>
          <c:showCatName val="0"/>
          <c:showSerName val="0"/>
          <c:showPercent val="0"/>
          <c:showBubbleSize val="0"/>
        </c:dLbls>
        <c:marker val="1"/>
        <c:smooth val="0"/>
        <c:axId val="52460928"/>
        <c:axId val="52471296"/>
      </c:lineChart>
      <c:catAx>
        <c:axId val="52460928"/>
        <c:scaling>
          <c:orientation val="minMax"/>
        </c:scaling>
        <c:delete val="0"/>
        <c:axPos val="b"/>
        <c:numFmt formatCode="General" sourceLinked="1"/>
        <c:majorTickMark val="out"/>
        <c:minorTickMark val="none"/>
        <c:tickLblPos val="nextTo"/>
        <c:spPr>
          <a:ln w="9525">
            <a:noFill/>
          </a:ln>
        </c:spPr>
        <c:txPr>
          <a:bodyPr rot="-5400000" vert="horz"/>
          <a:lstStyle/>
          <a:p>
            <a:pPr>
              <a:defRPr sz="800" b="0" i="0" u="none" strike="noStrike" baseline="0">
                <a:solidFill>
                  <a:srgbClr val="000000"/>
                </a:solidFill>
                <a:latin typeface="Arial"/>
                <a:ea typeface="Arial"/>
                <a:cs typeface="Arial"/>
              </a:defRPr>
            </a:pPr>
            <a:endParaRPr lang="en-US"/>
          </a:p>
        </c:txPr>
        <c:crossAx val="52471296"/>
        <c:crossesAt val="0"/>
        <c:auto val="1"/>
        <c:lblAlgn val="ctr"/>
        <c:lblOffset val="100"/>
        <c:tickLblSkip val="1"/>
        <c:tickMarkSkip val="1"/>
        <c:noMultiLvlLbl val="0"/>
      </c:catAx>
      <c:valAx>
        <c:axId val="52471296"/>
        <c:scaling>
          <c:orientation val="minMax"/>
          <c:max val="19"/>
          <c:min val="0"/>
        </c:scaling>
        <c:delete val="0"/>
        <c:axPos val="l"/>
        <c:majorGridlines>
          <c:spPr>
            <a:ln w="3175">
              <a:solidFill>
                <a:srgbClr val="000000"/>
              </a:solidFill>
              <a:prstDash val="sysDash"/>
            </a:ln>
          </c:spPr>
        </c:majorGridlines>
        <c:title>
          <c:tx>
            <c:rich>
              <a:bodyPr/>
              <a:lstStyle/>
              <a:p>
                <a:pPr>
                  <a:defRPr sz="925" b="1" i="0" u="none" strike="noStrike" baseline="0">
                    <a:solidFill>
                      <a:srgbClr val="333333"/>
                    </a:solidFill>
                    <a:latin typeface="Arial"/>
                    <a:ea typeface="Arial"/>
                    <a:cs typeface="Arial"/>
                  </a:defRPr>
                </a:pPr>
                <a:r>
                  <a:rPr lang="en-US"/>
                  <a:t>Scaled Score</a:t>
                </a:r>
              </a:p>
            </c:rich>
          </c:tx>
          <c:layout>
            <c:manualLayout>
              <c:xMode val="edge"/>
              <c:yMode val="edge"/>
              <c:x val="9.0301003344481601E-2"/>
              <c:y val="0.30932896890343697"/>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n-US"/>
          </a:p>
        </c:txPr>
        <c:crossAx val="52460928"/>
        <c:crosses val="autoZero"/>
        <c:crossBetween val="between"/>
        <c:majorUnit val="1"/>
        <c:minorUnit val="0.2"/>
      </c:valAx>
      <c:spPr>
        <a:noFill/>
        <a:ln w="12700">
          <a:solidFill>
            <a:srgbClr val="FFFFFF"/>
          </a:solidFill>
          <a:prstDash val="solid"/>
        </a:ln>
      </c:spPr>
    </c:plotArea>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en-US"/>
    </a:p>
  </c:txPr>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1"/>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none" strike="noStrike" baseline="0">
                <a:solidFill>
                  <a:srgbClr val="339966"/>
                </a:solidFill>
                <a:latin typeface="Arial"/>
                <a:ea typeface="Arial"/>
                <a:cs typeface="Arial"/>
              </a:defRPr>
            </a:pPr>
            <a:r>
              <a:rPr lang="en-US">
                <a:solidFill>
                  <a:srgbClr val="0070C0"/>
                </a:solidFill>
              </a:rPr>
              <a:t>WAIS-IV Subtests Order of Administration</a:t>
            </a:r>
          </a:p>
        </c:rich>
      </c:tx>
      <c:layout>
        <c:manualLayout>
          <c:xMode val="edge"/>
          <c:yMode val="edge"/>
          <c:x val="0.28316610925306579"/>
          <c:y val="1.9696969696969695E-2"/>
        </c:manualLayout>
      </c:layout>
      <c:overlay val="0"/>
      <c:spPr>
        <a:noFill/>
        <a:ln w="25400">
          <a:noFill/>
        </a:ln>
      </c:spPr>
    </c:title>
    <c:autoTitleDeleted val="0"/>
    <c:plotArea>
      <c:layout>
        <c:manualLayout>
          <c:layoutTarget val="inner"/>
          <c:xMode val="edge"/>
          <c:yMode val="edge"/>
          <c:x val="4.4593088071349034E-2"/>
          <c:y val="0.11818181818181818"/>
          <c:w val="0.94425863991081382"/>
          <c:h val="0.70303030303030301"/>
        </c:manualLayout>
      </c:layout>
      <c:lineChart>
        <c:grouping val="standard"/>
        <c:varyColors val="0"/>
        <c:ser>
          <c:idx val="0"/>
          <c:order val="0"/>
          <c:spPr>
            <a:ln w="28575">
              <a:noFill/>
            </a:ln>
          </c:spPr>
          <c:marker>
            <c:symbol val="circle"/>
            <c:size val="8"/>
            <c:spPr>
              <a:solidFill>
                <a:schemeClr val="tx2"/>
              </a:solidFill>
              <a:ln>
                <a:solidFill>
                  <a:srgbClr val="006411"/>
                </a:solidFill>
                <a:prstDash val="solid"/>
              </a:ln>
            </c:spPr>
          </c:marker>
          <c:cat>
            <c:strRef>
              <c:f>'WAIS-IV'!$U$253:$U$271</c:f>
              <c:strCache>
                <c:ptCount val="18"/>
                <c:pt idx="0">
                  <c:v>Block Design</c:v>
                </c:pt>
                <c:pt idx="1">
                  <c:v>Similarities</c:v>
                </c:pt>
                <c:pt idx="2">
                  <c:v>Digit Span</c:v>
                </c:pt>
                <c:pt idx="3">
                  <c:v>Digit Span-Forward</c:v>
                </c:pt>
                <c:pt idx="4">
                  <c:v>Digit Span-Backward</c:v>
                </c:pt>
                <c:pt idx="5">
                  <c:v>Digit Span-Sequencing</c:v>
                </c:pt>
                <c:pt idx="6">
                  <c:v>Matrix Reasoning</c:v>
                </c:pt>
                <c:pt idx="7">
                  <c:v>Vocabulary</c:v>
                </c:pt>
                <c:pt idx="8">
                  <c:v>Arithmetic</c:v>
                </c:pt>
                <c:pt idx="9">
                  <c:v>Symbol Search</c:v>
                </c:pt>
                <c:pt idx="10">
                  <c:v>Visual Puzzles</c:v>
                </c:pt>
                <c:pt idx="11">
                  <c:v>Information</c:v>
                </c:pt>
                <c:pt idx="12">
                  <c:v>Coding</c:v>
                </c:pt>
                <c:pt idx="13">
                  <c:v>Letter-Number Sequence</c:v>
                </c:pt>
                <c:pt idx="14">
                  <c:v>Figure Weights</c:v>
                </c:pt>
                <c:pt idx="15">
                  <c:v>Comprehension</c:v>
                </c:pt>
                <c:pt idx="16">
                  <c:v>Cancellation</c:v>
                </c:pt>
                <c:pt idx="17">
                  <c:v>Picture Completion</c:v>
                </c:pt>
              </c:strCache>
            </c:strRef>
          </c:cat>
          <c:val>
            <c:numRef>
              <c:f>'WAIS-IV'!$V$253:$V$271</c:f>
              <c:numCache>
                <c:formatCode>General</c:formatCode>
                <c:ptCount val="19"/>
                <c:pt idx="0">
                  <c:v>10</c:v>
                </c:pt>
                <c:pt idx="1">
                  <c:v>16</c:v>
                </c:pt>
                <c:pt idx="2">
                  <c:v>12</c:v>
                </c:pt>
                <c:pt idx="3">
                  <c:v>18</c:v>
                </c:pt>
                <c:pt idx="4">
                  <c:v>17</c:v>
                </c:pt>
                <c:pt idx="5">
                  <c:v>13</c:v>
                </c:pt>
                <c:pt idx="6">
                  <c:v>16</c:v>
                </c:pt>
                <c:pt idx="7">
                  <c:v>11</c:v>
                </c:pt>
                <c:pt idx="8">
                  <c:v>16</c:v>
                </c:pt>
                <c:pt idx="9">
                  <c:v>10</c:v>
                </c:pt>
                <c:pt idx="10">
                  <c:v>9</c:v>
                </c:pt>
                <c:pt idx="11">
                  <c:v>12</c:v>
                </c:pt>
                <c:pt idx="12">
                  <c:v>5</c:v>
                </c:pt>
                <c:pt idx="13">
                  <c:v>11</c:v>
                </c:pt>
                <c:pt idx="14">
                  <c:v>16</c:v>
                </c:pt>
                <c:pt idx="15">
                  <c:v>12</c:v>
                </c:pt>
                <c:pt idx="16">
                  <c:v>7</c:v>
                </c:pt>
                <c:pt idx="17">
                  <c:v>10</c:v>
                </c:pt>
              </c:numCache>
            </c:numRef>
          </c:val>
          <c:smooth val="0"/>
          <c:extLst>
            <c:ext xmlns:c16="http://schemas.microsoft.com/office/drawing/2014/chart" uri="{C3380CC4-5D6E-409C-BE32-E72D297353CC}">
              <c16:uniqueId val="{00000000-F342-446A-B3E0-B68ED8A02E7B}"/>
            </c:ext>
          </c:extLst>
        </c:ser>
        <c:dLbls>
          <c:showLegendKey val="0"/>
          <c:showVal val="0"/>
          <c:showCatName val="0"/>
          <c:showSerName val="0"/>
          <c:showPercent val="0"/>
          <c:showBubbleSize val="0"/>
        </c:dLbls>
        <c:marker val="1"/>
        <c:smooth val="0"/>
        <c:axId val="52277632"/>
        <c:axId val="52279552"/>
      </c:lineChart>
      <c:catAx>
        <c:axId val="52277632"/>
        <c:scaling>
          <c:orientation val="minMax"/>
        </c:scaling>
        <c:delete val="0"/>
        <c:axPos val="b"/>
        <c:numFmt formatCode="General" sourceLinked="1"/>
        <c:majorTickMark val="out"/>
        <c:minorTickMark val="none"/>
        <c:tickLblPos val="nextTo"/>
        <c:spPr>
          <a:ln w="9525">
            <a:noFill/>
          </a:ln>
        </c:spPr>
        <c:txPr>
          <a:bodyPr rot="-2700000" vert="horz"/>
          <a:lstStyle/>
          <a:p>
            <a:pPr>
              <a:defRPr sz="800" b="0" i="0" u="none" strike="noStrike" baseline="0">
                <a:solidFill>
                  <a:srgbClr val="000000"/>
                </a:solidFill>
                <a:latin typeface="Arial"/>
                <a:ea typeface="Arial"/>
                <a:cs typeface="Arial"/>
              </a:defRPr>
            </a:pPr>
            <a:endParaRPr lang="en-US"/>
          </a:p>
        </c:txPr>
        <c:crossAx val="52279552"/>
        <c:crosses val="autoZero"/>
        <c:auto val="1"/>
        <c:lblAlgn val="ctr"/>
        <c:lblOffset val="100"/>
        <c:tickLblSkip val="1"/>
        <c:tickMarkSkip val="1"/>
        <c:noMultiLvlLbl val="0"/>
      </c:catAx>
      <c:valAx>
        <c:axId val="52279552"/>
        <c:scaling>
          <c:orientation val="minMax"/>
          <c:max val="19"/>
          <c:min val="1"/>
        </c:scaling>
        <c:delete val="0"/>
        <c:axPos val="l"/>
        <c:majorGridlines>
          <c:spPr>
            <a:ln w="3175">
              <a:solidFill>
                <a:srgbClr val="000000"/>
              </a:solidFill>
              <a:prstDash val="sysDash"/>
            </a:ln>
          </c:spPr>
        </c:majorGridlines>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52277632"/>
        <c:crosses val="autoZero"/>
        <c:crossBetween val="between"/>
        <c:majorUnit val="1"/>
      </c:valAx>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en-US"/>
    </a:p>
  </c:txPr>
  <c:userShapes r:id="rId1"/>
</c:chartSpace>
</file>

<file path=xl/chart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chartsheets/_rels/sheet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500-000000000000}">
  <sheetPr codeName="Chart4">
    <tabColor indexed="26"/>
  </sheetPr>
  <sheetViews>
    <sheetView zoomScale="120" workbookViewId="0"/>
  </sheetViews>
  <sheetProtection password="8D61" content="1" objects="1"/>
  <pageMargins left="0.75" right="0.75" top="1" bottom="1" header="0.5" footer="0.5"/>
  <pageSetup orientation="landscape" horizontalDpi="4294967293" verticalDpi="300" r:id="rId1"/>
  <headerFooter alignWithMargins="0">
    <oddHeader>&amp;C&amp;"Geneva,Bold"&amp;14DUMONT/WILLIS WISC-IV Computer Template</oddHeader>
    <oddFooter>&amp;L&amp;8WISC-IV © The Psychological Corporation All rights reserved &amp;R&amp;8WISC-IV Template © Dumont - Willis 2003</oddFooter>
  </headerFooter>
  <drawing r:id="rId2"/>
</chartsheet>
</file>

<file path=xl/chartsheets/sheet2.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700-000000000000}">
  <sheetPr codeName="Chart6">
    <tabColor indexed="26"/>
  </sheetPr>
  <sheetViews>
    <sheetView workbookViewId="0"/>
  </sheetViews>
  <sheetProtection password="8D61" content="1" objects="1"/>
  <pageMargins left="0.73" right="0.77" top="0.77" bottom="0.73" header="0.5" footer="0.5"/>
  <pageSetup orientation="landscape" r:id="rId1"/>
  <headerFooter alignWithMargins="0">
    <oddHeader>&amp;C&amp;"Geneva,Bold"&amp;14DUMONT/WILLIS WISC-IV Computer Template</oddHeader>
    <oddFooter>&amp;L&amp;8WISC-IV © The Psychological Corporation All rights reserved &amp;R&amp;8WISC-IV Template © Dumont - Willis 2003</oddFooter>
  </headerFooter>
  <drawing r:id="rId2"/>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absoluteAnchor>
    <xdr:pos x="0" y="0"/>
    <xdr:ext cx="8543925" cy="5819775"/>
    <xdr:graphicFrame macro="">
      <xdr:nvGraphicFramePr>
        <xdr:cNvPr id="2" name="Shape">
          <a:extLst>
            <a:ext uri="{FF2B5EF4-FFF2-40B4-BE49-F238E27FC236}">
              <a16:creationId xmlns:a16="http://schemas.microsoft.com/office/drawing/2014/main" id="{00000000-0008-0000-05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c:userShapes xmlns:c="http://schemas.openxmlformats.org/drawingml/2006/chart">
  <cdr:relSizeAnchor xmlns:cdr="http://schemas.openxmlformats.org/drawingml/2006/chartDrawing">
    <cdr:from>
      <cdr:x>0.148</cdr:x>
      <cdr:y>0.25325</cdr:y>
    </cdr:from>
    <cdr:to>
      <cdr:x>0.88925</cdr:x>
      <cdr:y>0.41575</cdr:y>
    </cdr:to>
    <cdr:sp macro="" textlink="">
      <cdr:nvSpPr>
        <cdr:cNvPr id="2049" name="Rectangle 1"/>
        <cdr:cNvSpPr>
          <a:spLocks xmlns:a="http://schemas.openxmlformats.org/drawingml/2006/main" noChangeArrowheads="1"/>
        </cdr:cNvSpPr>
      </cdr:nvSpPr>
      <cdr:spPr bwMode="auto">
        <a:xfrm xmlns:a="http://schemas.openxmlformats.org/drawingml/2006/main">
          <a:off x="1219645" y="1572794"/>
          <a:ext cx="6371632" cy="1046105"/>
        </a:xfrm>
        <a:prstGeom xmlns:a="http://schemas.openxmlformats.org/drawingml/2006/main" prst="rect">
          <a:avLst/>
        </a:prstGeom>
        <a:solidFill xmlns:a="http://schemas.openxmlformats.org/drawingml/2006/main">
          <a:schemeClr val="tx2">
            <a:lumMod val="40000"/>
            <a:lumOff val="60000"/>
            <a:alpha val="32000"/>
          </a:schemeClr>
        </a:solidFill>
        <a:ln xmlns:a="http://schemas.openxmlformats.org/drawingml/2006/main" w="9525">
          <a:solidFill>
            <a:srgbClr val="339966"/>
          </a:solidFill>
          <a:miter lim="800000"/>
          <a:headEnd/>
          <a:tailEnd/>
        </a:ln>
      </cdr:spPr>
      <cdr:txBody>
        <a:bodyPr xmlns:a="http://schemas.openxmlformats.org/drawingml/2006/main"/>
        <a:lstStyle xmlns:a="http://schemas.openxmlformats.org/drawingml/2006/main"/>
        <a:p xmlns:a="http://schemas.openxmlformats.org/drawingml/2006/main">
          <a:endParaRPr lang="en-US"/>
        </a:p>
      </cdr:txBody>
    </cdr:sp>
  </cdr:relSizeAnchor>
</c:userShapes>
</file>

<file path=xl/drawings/drawing3.xml><?xml version="1.0" encoding="utf-8"?>
<xdr:wsDr xmlns:xdr="http://schemas.openxmlformats.org/drawingml/2006/spreadsheetDrawing" xmlns:a="http://schemas.openxmlformats.org/drawingml/2006/main">
  <xdr:absoluteAnchor>
    <xdr:pos x="0" y="0"/>
    <xdr:ext cx="8543925" cy="6286500"/>
    <xdr:graphicFrame macro="">
      <xdr:nvGraphicFramePr>
        <xdr:cNvPr id="2" name="Shape">
          <a:extLst>
            <a:ext uri="{FF2B5EF4-FFF2-40B4-BE49-F238E27FC236}">
              <a16:creationId xmlns:a16="http://schemas.microsoft.com/office/drawing/2014/main" id="{00000000-0008-0000-07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xml><?xml version="1.0" encoding="utf-8"?>
<c:userShapes xmlns:c="http://schemas.openxmlformats.org/drawingml/2006/chart">
  <cdr:relSizeAnchor xmlns:cdr="http://schemas.openxmlformats.org/drawingml/2006/chartDrawing">
    <cdr:from>
      <cdr:x>0.04459</cdr:x>
      <cdr:y>0.3545</cdr:y>
    </cdr:from>
    <cdr:to>
      <cdr:x>0.984</cdr:x>
      <cdr:y>0.58333</cdr:y>
    </cdr:to>
    <cdr:sp macro="" textlink="">
      <cdr:nvSpPr>
        <cdr:cNvPr id="10241" name="Rectangle 1"/>
        <cdr:cNvSpPr>
          <a:spLocks xmlns:a="http://schemas.openxmlformats.org/drawingml/2006/main" noChangeArrowheads="1"/>
        </cdr:cNvSpPr>
      </cdr:nvSpPr>
      <cdr:spPr bwMode="auto">
        <a:xfrm xmlns:a="http://schemas.openxmlformats.org/drawingml/2006/main">
          <a:off x="381001" y="2228564"/>
          <a:ext cx="8026222" cy="1438561"/>
        </a:xfrm>
        <a:prstGeom xmlns:a="http://schemas.openxmlformats.org/drawingml/2006/main" prst="rect">
          <a:avLst/>
        </a:prstGeom>
        <a:solidFill xmlns:a="http://schemas.openxmlformats.org/drawingml/2006/main">
          <a:schemeClr val="tx2">
            <a:lumMod val="20000"/>
            <a:lumOff val="80000"/>
            <a:alpha val="25000"/>
          </a:schemeClr>
        </a:solidFill>
        <a:ln xmlns:a="http://schemas.openxmlformats.org/drawingml/2006/main" w="9525">
          <a:solidFill>
            <a:srgbClr val="000000"/>
          </a:solidFill>
          <a:miter lim="800000"/>
          <a:headEnd/>
          <a:tailEnd/>
        </a:ln>
      </cdr:spPr>
      <cdr:txBody>
        <a:bodyPr xmlns:a="http://schemas.openxmlformats.org/drawingml/2006/main"/>
        <a:lstStyle xmlns:a="http://schemas.openxmlformats.org/drawingml/2006/main"/>
        <a:p xmlns:a="http://schemas.openxmlformats.org/drawingml/2006/main">
          <a:endParaRPr lang="en-US"/>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fduuser/Documents/aaDocuments/Articles%20Chapters%20Books/Chapter%20edits%20and%20updates/Misc%20Test%20Chapters%20and%20info/wisc%20iv/WISC%20IV%20data%20sheets%2011.16.0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cuments%20and%20Settings/fduuser/Documents/aaDocuments/Articles%20Chapters%20Books/Chapter%20edits%20and%20updates/WISC%20IV%20data%20sheets%2011.16.0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WAIS%20IV%20Material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4"/>
      <sheetName val="cvalues"/>
      <sheetName val="Sheet2"/>
      <sheetName val="Sheet3"/>
      <sheetName val="Sheet5"/>
      <sheetName val="Sheet1"/>
      <sheetName val="admin order"/>
      <sheetName val="adhd"/>
      <sheetName val="BD bonus effect"/>
      <sheetName val="changes W1234"/>
      <sheetName val="changes W1234 (2)"/>
      <sheetName val="corr for all"/>
      <sheetName val="corr for all (2)"/>
      <sheetName val="demographics"/>
      <sheetName val="interp"/>
      <sheetName val="GFGc"/>
      <sheetName val="Gifted group"/>
      <sheetName val="factor solutions (2)"/>
      <sheetName val="factor solutions"/>
      <sheetName val="Mild MR group"/>
      <sheetName val="rdg group"/>
      <sheetName val="rdg vs math"/>
      <sheetName val="reliability"/>
      <sheetName val="Scaled Score ranges"/>
      <sheetName val="SS speed v acc"/>
      <sheetName val="scale corr"/>
      <sheetName val="Scatter"/>
      <sheetName val="sorted data"/>
      <sheetName val="substitutions"/>
      <sheetName val="t&amp;B for subs"/>
      <sheetName val="T&amp;B DWI2"/>
      <sheetName val="T&amp;B DWI (2)"/>
      <sheetName val="T&amp;B DWI"/>
      <sheetName val="t&amp;B for vci+wmi"/>
      <sheetName val="t&amp;B for fsiq"/>
      <sheetName val="t-retest subtests"/>
      <sheetName val="test retest indexes"/>
      <sheetName val="t-retest ss and ES"/>
      <sheetName val="Table B.1 additions"/>
      <sheetName val="Table B.1 sem"/>
      <sheetName val="validity corr"/>
      <sheetName val="validity ss diffs"/>
      <sheetName val="w4 v wais3"/>
      <sheetName val="w4 v wp3"/>
      <sheetName val="t&amp;B for BADWISC"/>
      <sheetName val="T&amp;B BADWISC table"/>
      <sheetName val="T&amp;B BADWISC2"/>
      <sheetName val="BADWISC2 tabl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4"/>
      <sheetName val="cvalues"/>
      <sheetName val="Sheet2"/>
      <sheetName val="Sheet3"/>
      <sheetName val="Sheet5"/>
      <sheetName val="Sheet1"/>
      <sheetName val="admin order"/>
      <sheetName val="adhd"/>
      <sheetName val="BD bonus effect"/>
      <sheetName val="changes W1234"/>
      <sheetName val="changes W1234 (2)"/>
      <sheetName val="corr for all"/>
      <sheetName val="corr for all (2)"/>
      <sheetName val="demographics"/>
      <sheetName val="interp"/>
      <sheetName val="GFGc"/>
      <sheetName val="Gifted group"/>
      <sheetName val="factor solutions (2)"/>
      <sheetName val="factor solutions"/>
      <sheetName val="Mild MR group"/>
      <sheetName val="rdg group"/>
      <sheetName val="rdg vs math"/>
      <sheetName val="reliability"/>
      <sheetName val="Scaled Score ranges"/>
      <sheetName val="SS speed v acc"/>
      <sheetName val="scale corr"/>
      <sheetName val="Scatter"/>
      <sheetName val="sorted data"/>
      <sheetName val="substitutions"/>
      <sheetName val="t&amp;B for subs"/>
      <sheetName val="T&amp;B DWI2"/>
      <sheetName val="T&amp;B DWI (2)"/>
      <sheetName val="T&amp;B DWI"/>
      <sheetName val="t&amp;B for vci+wmi"/>
      <sheetName val="t&amp;B for fsiq"/>
      <sheetName val="t-retest subtests"/>
      <sheetName val="test retest indexes"/>
      <sheetName val="t-retest ss and ES"/>
      <sheetName val="Table B.1 additions"/>
      <sheetName val="Table B.1 sem"/>
      <sheetName val="validity corr"/>
      <sheetName val="validity ss diffs"/>
      <sheetName val="w4 v wais3"/>
      <sheetName val="w4 v wp3"/>
      <sheetName val="t&amp;B for BADWISC"/>
      <sheetName val="T&amp;B BADWISC table"/>
      <sheetName val="T&amp;B BADWISC2"/>
      <sheetName val="BADWISC2 table"/>
      <sheetName val="t&amp;B for subs (2)"/>
      <sheetName val="t&amp;B for BADWISC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liability"/>
      <sheetName val="CVs"/>
      <sheetName val="corr matrix"/>
      <sheetName val="changes W1234"/>
      <sheetName val="g loading"/>
      <sheetName val="% of Pop. with Discrepancies"/>
      <sheetName val="DS PRs"/>
      <sheetName val="SS speed v acc"/>
      <sheetName val="substitutions"/>
      <sheetName val="t&amp;B for subs"/>
      <sheetName val="T&amp;B DWI2"/>
      <sheetName val="corr matrix (2)"/>
      <sheetName val="TB for Indexes"/>
      <sheetName val="TB for GAI"/>
      <sheetName val="TB GAI2"/>
      <sheetName val="Sheet1"/>
      <sheetName val="table of results example"/>
      <sheetName val="Corr mat"/>
      <sheetName val="gifted"/>
      <sheetName val="adhd"/>
      <sheetName val="sem"/>
      <sheetName val="rel"/>
      <sheetName val="stability"/>
      <sheetName val="w4-w3"/>
      <sheetName val="w4-wisc4"/>
      <sheetName val="math"/>
      <sheetName val="reading"/>
      <sheetName val="Ways to Sort"/>
      <sheetName val="Sheet3"/>
      <sheetName val="Sheet4"/>
      <sheetName val="Conditional probability"/>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rgb="FF0070C0"/>
  </sheetPr>
  <dimension ref="A1:DT478"/>
  <sheetViews>
    <sheetView showGridLines="0" tabSelected="1" zoomScale="120" zoomScaleNormal="120" workbookViewId="0">
      <selection activeCell="H5" sqref="H5:I5"/>
    </sheetView>
  </sheetViews>
  <sheetFormatPr defaultColWidth="12.85546875" defaultRowHeight="11.25"/>
  <cols>
    <col min="1" max="1" width="1.140625" style="2" customWidth="1"/>
    <col min="2" max="2" width="4" style="2" customWidth="1"/>
    <col min="3" max="3" width="3.42578125" style="2" customWidth="1"/>
    <col min="4" max="4" width="25.7109375" style="2" customWidth="1"/>
    <col min="5" max="5" width="0.5703125" style="2" customWidth="1"/>
    <col min="6" max="6" width="5" style="2" customWidth="1"/>
    <col min="7" max="11" width="5.140625" style="2" customWidth="1"/>
    <col min="12" max="12" width="5" style="2" customWidth="1"/>
    <col min="13" max="13" width="5.140625" style="2" customWidth="1"/>
    <col min="14" max="14" width="4.85546875" style="2" customWidth="1"/>
    <col min="15" max="15" width="5.85546875" style="2" customWidth="1"/>
    <col min="16" max="16" width="5.5703125" style="2" customWidth="1"/>
    <col min="17" max="17" width="6.140625" style="2" customWidth="1"/>
    <col min="18" max="18" width="3.5703125" style="127" bestFit="1" customWidth="1"/>
    <col min="19" max="19" width="4.7109375" style="178" customWidth="1"/>
    <col min="20" max="20" width="7.42578125" style="178" hidden="1" customWidth="1"/>
    <col min="21" max="21" width="18.42578125" style="178" bestFit="1" customWidth="1"/>
    <col min="22" max="22" width="96.7109375" style="178" bestFit="1" customWidth="1"/>
    <col min="23" max="23" width="91.42578125" style="178" bestFit="1" customWidth="1"/>
    <col min="24" max="24" width="12" style="178" bestFit="1" customWidth="1"/>
    <col min="25" max="25" width="7.42578125" style="178" bestFit="1" customWidth="1"/>
    <col min="26" max="26" width="6.85546875" style="178" bestFit="1" customWidth="1"/>
    <col min="27" max="28" width="5.28515625" style="178" bestFit="1" customWidth="1"/>
    <col min="29" max="29" width="20.140625" style="178" bestFit="1" customWidth="1"/>
    <col min="30" max="30" width="7.5703125" style="178" bestFit="1" customWidth="1"/>
    <col min="31" max="31" width="7.140625" style="178" bestFit="1" customWidth="1"/>
    <col min="32" max="32" width="9.28515625" style="178" bestFit="1" customWidth="1"/>
    <col min="33" max="33" width="5.140625" style="178" bestFit="1" customWidth="1"/>
    <col min="34" max="34" width="8.28515625" style="178" bestFit="1" customWidth="1"/>
    <col min="35" max="35" width="10.42578125" style="178" bestFit="1" customWidth="1"/>
    <col min="36" max="36" width="5.140625" style="178" bestFit="1" customWidth="1"/>
    <col min="37" max="37" width="7.140625" style="178" bestFit="1" customWidth="1"/>
    <col min="38" max="38" width="3.7109375" style="178" bestFit="1" customWidth="1"/>
    <col min="39" max="39" width="4.140625" style="178" bestFit="1" customWidth="1"/>
    <col min="40" max="48" width="3.5703125" style="178" bestFit="1" customWidth="1"/>
    <col min="49" max="49" width="8.42578125" style="178" bestFit="1" customWidth="1"/>
    <col min="50" max="50" width="4.140625" style="178" bestFit="1" customWidth="1"/>
    <col min="51" max="70" width="3.5703125" style="178" bestFit="1" customWidth="1"/>
    <col min="71" max="85" width="3.5703125" style="134" bestFit="1" customWidth="1"/>
    <col min="86" max="133" width="5.42578125" style="2" customWidth="1"/>
    <col min="134" max="16384" width="12.85546875" style="2"/>
  </cols>
  <sheetData>
    <row r="1" spans="1:38">
      <c r="A1" s="344" t="s">
        <v>0</v>
      </c>
      <c r="B1" s="344"/>
      <c r="C1" s="344"/>
      <c r="D1" s="344"/>
      <c r="E1" s="344"/>
      <c r="F1" s="344"/>
      <c r="G1" s="344"/>
      <c r="H1" s="344"/>
      <c r="I1" s="344"/>
      <c r="J1" s="344"/>
      <c r="K1" s="344"/>
      <c r="L1" s="344"/>
      <c r="M1" s="344"/>
      <c r="N1" s="344"/>
      <c r="O1" s="344"/>
      <c r="P1" s="344"/>
      <c r="Q1" s="344"/>
      <c r="R1" s="344"/>
      <c r="S1" s="249"/>
      <c r="T1" s="249"/>
      <c r="U1" s="249"/>
      <c r="V1" s="249"/>
      <c r="W1" s="249"/>
      <c r="X1" s="249"/>
      <c r="Y1" s="249"/>
      <c r="Z1" s="249"/>
      <c r="AA1" s="249"/>
      <c r="AB1" s="249"/>
      <c r="AC1" s="249"/>
      <c r="AD1" s="249"/>
      <c r="AE1" s="249"/>
      <c r="AF1" s="249"/>
      <c r="AG1" s="249"/>
      <c r="AH1" s="249"/>
      <c r="AI1" s="249"/>
      <c r="AJ1" s="249"/>
      <c r="AK1" s="249"/>
      <c r="AL1" s="249"/>
    </row>
    <row r="2" spans="1:38" ht="20.25">
      <c r="A2" s="345" t="s">
        <v>1</v>
      </c>
      <c r="B2" s="345"/>
      <c r="C2" s="345"/>
      <c r="D2" s="345"/>
      <c r="E2" s="345"/>
      <c r="F2" s="345"/>
      <c r="G2" s="345"/>
      <c r="H2" s="345"/>
      <c r="I2" s="345"/>
      <c r="J2" s="345"/>
      <c r="K2" s="345"/>
      <c r="L2" s="345"/>
      <c r="M2" s="345"/>
      <c r="N2" s="345"/>
      <c r="O2" s="345"/>
      <c r="P2" s="345"/>
      <c r="Q2" s="345"/>
      <c r="R2" s="345"/>
      <c r="S2" s="249"/>
      <c r="T2" s="249"/>
      <c r="U2" s="249"/>
      <c r="V2" s="249"/>
      <c r="W2" s="249"/>
      <c r="X2" s="249"/>
      <c r="Y2" s="249"/>
      <c r="Z2" s="249"/>
      <c r="AA2" s="249"/>
      <c r="AB2" s="249"/>
      <c r="AC2" s="249"/>
      <c r="AD2" s="249"/>
      <c r="AE2" s="249"/>
      <c r="AF2" s="249"/>
      <c r="AG2" s="249"/>
      <c r="AH2" s="249"/>
      <c r="AI2" s="249"/>
      <c r="AJ2" s="249"/>
      <c r="AK2" s="249"/>
      <c r="AL2" s="249"/>
    </row>
    <row r="3" spans="1:38">
      <c r="A3" s="346" t="s">
        <v>2</v>
      </c>
      <c r="B3" s="347"/>
      <c r="C3" s="347"/>
      <c r="D3" s="347"/>
      <c r="E3" s="347"/>
      <c r="F3" s="347"/>
      <c r="G3" s="347"/>
      <c r="H3" s="347"/>
      <c r="I3" s="347"/>
      <c r="J3" s="347"/>
      <c r="K3" s="347"/>
      <c r="L3" s="347"/>
      <c r="M3" s="347"/>
      <c r="N3" s="347"/>
      <c r="O3" s="347"/>
      <c r="P3" s="347"/>
      <c r="Q3" s="347"/>
      <c r="R3" s="347"/>
      <c r="S3" s="249"/>
      <c r="T3" s="249"/>
      <c r="U3" s="249"/>
      <c r="V3" s="249"/>
      <c r="W3" s="249"/>
      <c r="X3" s="249"/>
      <c r="Y3" s="249"/>
      <c r="Z3" s="249"/>
      <c r="AA3" s="249"/>
      <c r="AB3" s="249"/>
      <c r="AC3" s="249"/>
      <c r="AD3" s="249"/>
      <c r="AE3" s="249"/>
      <c r="AF3" s="249"/>
      <c r="AG3" s="249"/>
      <c r="AH3" s="249"/>
      <c r="AI3" s="249"/>
      <c r="AJ3" s="249"/>
      <c r="AK3" s="249"/>
      <c r="AL3" s="249"/>
    </row>
    <row r="5" spans="1:38" ht="21" customHeight="1">
      <c r="B5" s="5"/>
      <c r="C5" s="6" t="s">
        <v>3</v>
      </c>
      <c r="D5" s="122" t="s">
        <v>4</v>
      </c>
      <c r="E5" s="5"/>
      <c r="F5" s="5"/>
      <c r="G5" s="6" t="s">
        <v>5</v>
      </c>
      <c r="H5" s="348">
        <v>38391</v>
      </c>
      <c r="I5" s="348"/>
      <c r="J5" s="7"/>
      <c r="K5" s="5"/>
      <c r="L5" s="5"/>
      <c r="M5" s="6" t="s">
        <v>6</v>
      </c>
      <c r="N5" s="350">
        <f ca="1">NOW()</f>
        <v>44012.489614699072</v>
      </c>
      <c r="O5" s="350"/>
      <c r="P5" s="5"/>
      <c r="Q5" s="8"/>
      <c r="R5" s="128"/>
      <c r="S5" s="250"/>
      <c r="T5" s="249"/>
      <c r="U5" s="249">
        <f>YEAR(H5)</f>
        <v>2009</v>
      </c>
      <c r="V5" s="249">
        <f>MONTH(H5)</f>
        <v>2</v>
      </c>
      <c r="W5" s="249">
        <f>DAY(H5)</f>
        <v>9</v>
      </c>
      <c r="X5" s="249">
        <f>IF(Y6&gt;Z5,U5-1,U5)</f>
        <v>2008</v>
      </c>
      <c r="Y5" s="249">
        <f>IF(Y6&gt;Z5,Z5+12,Z5)</f>
        <v>14</v>
      </c>
      <c r="Z5" s="249">
        <f>IF(AA6&gt;W5,V5-1,V5)</f>
        <v>2</v>
      </c>
      <c r="AA5" s="249">
        <f>IF(AA6&gt;W5,W5+30,W5)</f>
        <v>9</v>
      </c>
      <c r="AB5" s="249"/>
      <c r="AC5" s="249"/>
      <c r="AD5" s="249"/>
      <c r="AE5" s="249"/>
      <c r="AF5" s="249"/>
      <c r="AG5" s="249"/>
      <c r="AH5" s="249"/>
      <c r="AI5" s="249"/>
      <c r="AJ5" s="249"/>
      <c r="AK5" s="249"/>
      <c r="AL5" s="249"/>
    </row>
    <row r="6" spans="1:38" ht="15.75" customHeight="1">
      <c r="B6" s="5"/>
      <c r="C6" s="5"/>
      <c r="D6" s="5"/>
      <c r="E6" s="10"/>
      <c r="F6" s="5"/>
      <c r="G6" s="6" t="s">
        <v>7</v>
      </c>
      <c r="H6" s="349">
        <v>29164</v>
      </c>
      <c r="I6" s="349"/>
      <c r="J6" s="11"/>
      <c r="K6" s="5"/>
      <c r="L6" s="10"/>
      <c r="M6" s="12" t="s">
        <v>8</v>
      </c>
      <c r="N6" s="13" t="str">
        <f>AC7</f>
        <v>25 years, 3 months, 3 days</v>
      </c>
      <c r="O6" s="5"/>
      <c r="P6" s="5"/>
      <c r="Q6" s="10"/>
      <c r="R6" s="128"/>
      <c r="S6" s="250"/>
      <c r="T6" s="249"/>
      <c r="U6" s="249"/>
      <c r="V6" s="249"/>
      <c r="W6" s="249"/>
      <c r="X6" s="249">
        <f>YEAR(H6)</f>
        <v>1983</v>
      </c>
      <c r="Y6" s="249">
        <f>MONTH(H6)</f>
        <v>11</v>
      </c>
      <c r="Z6" s="249"/>
      <c r="AA6" s="249">
        <f>DAY(H6)</f>
        <v>6</v>
      </c>
      <c r="AB6" s="249"/>
      <c r="AC6" s="249"/>
      <c r="AD6" s="249"/>
      <c r="AE6" s="249"/>
      <c r="AF6" s="249"/>
      <c r="AG6" s="249"/>
      <c r="AH6" s="249"/>
      <c r="AI6" s="249"/>
      <c r="AJ6" s="249"/>
      <c r="AK6" s="249"/>
      <c r="AL6" s="249"/>
    </row>
    <row r="7" spans="1:38" ht="5.25" customHeight="1">
      <c r="M7" s="14"/>
      <c r="N7" s="14"/>
      <c r="O7" s="9"/>
      <c r="P7" s="9"/>
      <c r="Q7" s="9"/>
      <c r="R7" s="128"/>
      <c r="S7" s="250"/>
      <c r="T7" s="249"/>
      <c r="U7" s="249"/>
      <c r="V7" s="249"/>
      <c r="W7" s="249"/>
      <c r="X7" s="249">
        <f>X5-X6</f>
        <v>25</v>
      </c>
      <c r="Y7" s="249">
        <f>Y5-Y6</f>
        <v>3</v>
      </c>
      <c r="Z7" s="249"/>
      <c r="AA7" s="249">
        <f>AA5-AA6</f>
        <v>3</v>
      </c>
      <c r="AB7" s="249"/>
      <c r="AC7" s="249" t="str">
        <f>X7&amp;" years, "&amp;Y7&amp;Y8&amp;AA7&amp;AA8</f>
        <v>25 years, 3 months, 3 days</v>
      </c>
      <c r="AD7" s="249"/>
      <c r="AE7" s="249"/>
      <c r="AF7" s="249"/>
      <c r="AG7" s="249"/>
      <c r="AH7" s="249"/>
      <c r="AI7" s="249"/>
      <c r="AJ7" s="249"/>
      <c r="AK7" s="249"/>
      <c r="AL7" s="249"/>
    </row>
    <row r="8" spans="1:38" ht="2.25" customHeight="1">
      <c r="C8" s="15"/>
      <c r="D8" s="16" t="s">
        <v>9</v>
      </c>
      <c r="E8" s="17" t="s">
        <v>9</v>
      </c>
      <c r="F8" s="17" t="s">
        <v>9</v>
      </c>
      <c r="G8" s="17" t="s">
        <v>9</v>
      </c>
      <c r="H8" s="17" t="s">
        <v>9</v>
      </c>
      <c r="I8" s="17" t="s">
        <v>9</v>
      </c>
      <c r="J8" s="17" t="s">
        <v>9</v>
      </c>
      <c r="K8" s="17" t="s">
        <v>9</v>
      </c>
      <c r="N8" s="351" t="str">
        <f>IF(OR(X7&lt;16,X7&gt;99),"The age computed is not supported by the WAIS-IV","")</f>
        <v/>
      </c>
      <c r="O8" s="351"/>
      <c r="P8" s="351"/>
      <c r="Q8" s="351"/>
      <c r="R8" s="351"/>
      <c r="S8" s="250"/>
      <c r="T8" s="249">
        <f>FIND(" ",D5)</f>
        <v>2</v>
      </c>
      <c r="U8" s="249" t="str">
        <f>MID(D5,1,T8-1)</f>
        <v>M</v>
      </c>
      <c r="V8" s="249"/>
      <c r="W8" s="249"/>
      <c r="X8" s="249"/>
      <c r="Y8" s="249" t="str">
        <f>IF(Y7=1," month, "," months, ")</f>
        <v xml:space="preserve"> months, </v>
      </c>
      <c r="Z8" s="249"/>
      <c r="AA8" s="249" t="str">
        <f>IF(AA7=1," day"," days")</f>
        <v xml:space="preserve"> days</v>
      </c>
      <c r="AB8" s="249"/>
      <c r="AC8" s="249"/>
      <c r="AD8" s="249"/>
      <c r="AE8" s="249"/>
      <c r="AF8" s="249"/>
      <c r="AG8" s="249"/>
      <c r="AH8" s="249"/>
      <c r="AI8" s="249"/>
      <c r="AJ8" s="249"/>
      <c r="AK8" s="249"/>
      <c r="AL8" s="249"/>
    </row>
    <row r="9" spans="1:38" ht="1.5" customHeight="1">
      <c r="C9" s="18"/>
      <c r="D9" s="16"/>
      <c r="E9" s="17"/>
      <c r="F9" s="17"/>
      <c r="G9" s="17"/>
      <c r="H9" s="17"/>
      <c r="I9" s="17"/>
      <c r="J9" s="17"/>
      <c r="K9" s="17"/>
      <c r="L9" s="17"/>
      <c r="M9" s="175"/>
      <c r="N9" s="351"/>
      <c r="O9" s="351"/>
      <c r="P9" s="351"/>
      <c r="Q9" s="351"/>
      <c r="R9" s="351"/>
      <c r="S9" s="250"/>
      <c r="T9" s="249"/>
      <c r="U9" s="249"/>
      <c r="V9" s="249"/>
      <c r="W9" s="249">
        <v>1</v>
      </c>
      <c r="X9" s="249">
        <v>2</v>
      </c>
      <c r="Y9" s="249" t="s">
        <v>10</v>
      </c>
      <c r="Z9" s="249">
        <v>4</v>
      </c>
      <c r="AA9" s="249">
        <v>5</v>
      </c>
      <c r="AB9" s="249">
        <v>6</v>
      </c>
      <c r="AC9" s="249">
        <v>7</v>
      </c>
      <c r="AD9" s="249">
        <v>8</v>
      </c>
      <c r="AE9" s="249">
        <v>9</v>
      </c>
      <c r="AF9" s="249">
        <v>10</v>
      </c>
      <c r="AG9" s="249">
        <v>11</v>
      </c>
      <c r="AH9" s="249">
        <v>12</v>
      </c>
      <c r="AI9" s="249">
        <v>13</v>
      </c>
      <c r="AJ9" s="249"/>
      <c r="AK9" s="249"/>
      <c r="AL9" s="249"/>
    </row>
    <row r="10" spans="1:38" ht="2.25" customHeight="1">
      <c r="C10" s="18"/>
      <c r="D10" s="19"/>
      <c r="E10" s="19"/>
      <c r="F10" s="19"/>
      <c r="G10" s="19"/>
      <c r="H10" s="19"/>
      <c r="I10" s="19"/>
      <c r="L10" s="17"/>
      <c r="M10" s="175"/>
      <c r="N10" s="351"/>
      <c r="O10" s="351"/>
      <c r="P10" s="351"/>
      <c r="Q10" s="351"/>
      <c r="R10" s="351"/>
      <c r="S10" s="250"/>
      <c r="T10" s="249"/>
      <c r="U10" s="249"/>
      <c r="V10" s="249"/>
      <c r="W10" s="249">
        <v>16</v>
      </c>
      <c r="X10" s="249">
        <v>18</v>
      </c>
      <c r="Y10" s="249">
        <v>20</v>
      </c>
      <c r="Z10" s="249">
        <v>25</v>
      </c>
      <c r="AA10" s="249">
        <v>30</v>
      </c>
      <c r="AB10" s="249">
        <v>35</v>
      </c>
      <c r="AC10" s="249">
        <v>45</v>
      </c>
      <c r="AD10" s="249">
        <v>55</v>
      </c>
      <c r="AE10" s="249">
        <v>65</v>
      </c>
      <c r="AF10" s="249">
        <v>70</v>
      </c>
      <c r="AG10" s="249">
        <v>75</v>
      </c>
      <c r="AH10" s="249">
        <v>80</v>
      </c>
      <c r="AI10" s="249">
        <v>85</v>
      </c>
      <c r="AJ10" s="249"/>
      <c r="AK10" s="249"/>
      <c r="AL10" s="249"/>
    </row>
    <row r="11" spans="1:38" ht="23.25" customHeight="1" thickBot="1">
      <c r="C11" s="9"/>
      <c r="D11" s="125" t="s">
        <v>11</v>
      </c>
      <c r="E11" s="124"/>
      <c r="F11" s="125" t="s">
        <v>12</v>
      </c>
      <c r="G11" s="125" t="s">
        <v>13</v>
      </c>
      <c r="H11" s="125" t="s">
        <v>14</v>
      </c>
      <c r="I11" s="125" t="s">
        <v>15</v>
      </c>
      <c r="J11" s="125" t="s">
        <v>16</v>
      </c>
      <c r="K11" s="126" t="s">
        <v>17</v>
      </c>
      <c r="L11" s="133" t="s">
        <v>18</v>
      </c>
      <c r="N11" s="351"/>
      <c r="O11" s="351"/>
      <c r="P11" s="351"/>
      <c r="Q11" s="351"/>
      <c r="R11" s="351"/>
      <c r="S11" s="250"/>
      <c r="T11" s="249"/>
      <c r="U11" s="249"/>
      <c r="V11" s="249"/>
      <c r="W11" s="249" t="e">
        <f>LOOKUP(N6,W10:AI10,W9:AI9)</f>
        <v>#N/A</v>
      </c>
      <c r="X11" s="249" t="s">
        <v>19</v>
      </c>
      <c r="Y11" s="249"/>
      <c r="Z11" s="249"/>
      <c r="AA11" s="249"/>
      <c r="AB11" s="249"/>
      <c r="AC11" s="249"/>
      <c r="AD11" s="249"/>
      <c r="AE11" s="249"/>
      <c r="AF11" s="249"/>
      <c r="AG11" s="249"/>
      <c r="AH11" s="249"/>
      <c r="AI11" s="249"/>
      <c r="AJ11" s="249"/>
      <c r="AK11" s="249"/>
      <c r="AL11" s="249"/>
    </row>
    <row r="12" spans="1:38" ht="21.75" customHeight="1">
      <c r="B12" s="342" t="s">
        <v>20</v>
      </c>
      <c r="C12" s="342"/>
      <c r="D12" s="23"/>
      <c r="E12" s="24"/>
      <c r="F12" s="123">
        <v>10</v>
      </c>
      <c r="G12" s="25"/>
      <c r="H12" s="26">
        <f>IF(bd="","",IF(U12=0,"("&amp;bd&amp;")",bd))</f>
        <v>10</v>
      </c>
      <c r="I12" s="25"/>
      <c r="J12" s="24"/>
      <c r="K12" s="25">
        <f>IF(U12=0,"",IF(F12="","",F12))</f>
        <v>10</v>
      </c>
      <c r="L12" s="27">
        <f t="shared" ref="L12:L26" si="0">IF(F12="","",LOOKUP(F12,$D$344:$W$344,$D$345:$W$345))</f>
        <v>50</v>
      </c>
      <c r="N12" s="351" t="str">
        <f>IF(W21&gt;3,"You have selected too many subtests for calculation of a Verbal Comprehension Scale",IF(W21&lt;3,"You have selected too few subtests for calculation of a Verbal Comprehension Scale",""))</f>
        <v/>
      </c>
      <c r="O12" s="351"/>
      <c r="P12" s="351"/>
      <c r="Q12" s="351"/>
      <c r="R12" s="351"/>
      <c r="S12" s="250" t="s">
        <v>21</v>
      </c>
      <c r="T12" s="251" t="b">
        <v>1</v>
      </c>
      <c r="U12" s="249">
        <f>IF(T12=TRUE,1,0)</f>
        <v>1</v>
      </c>
      <c r="V12" s="249" t="s">
        <v>22</v>
      </c>
      <c r="W12" s="252" t="s">
        <v>13</v>
      </c>
      <c r="X12" s="252"/>
      <c r="Y12" s="252" t="s">
        <v>14</v>
      </c>
      <c r="Z12" s="252" t="s">
        <v>23</v>
      </c>
      <c r="AA12" s="252" t="s">
        <v>24</v>
      </c>
      <c r="AB12" s="252"/>
      <c r="AC12" s="252" t="s">
        <v>25</v>
      </c>
      <c r="AD12" s="252"/>
      <c r="AE12" s="252" t="s">
        <v>24</v>
      </c>
      <c r="AF12" s="249"/>
      <c r="AG12" s="249" t="s">
        <v>26</v>
      </c>
      <c r="AH12" s="249"/>
      <c r="AI12" s="249"/>
      <c r="AJ12" s="249"/>
      <c r="AK12" s="249"/>
      <c r="AL12" s="249"/>
    </row>
    <row r="13" spans="1:38" ht="21.75" customHeight="1">
      <c r="B13" s="342"/>
      <c r="C13" s="342"/>
      <c r="D13" s="28"/>
      <c r="E13" s="24"/>
      <c r="F13" s="123">
        <v>16</v>
      </c>
      <c r="G13" s="26">
        <f>IF(F13="","",IF(U13=0,"("&amp;F13&amp;")",F13))</f>
        <v>16</v>
      </c>
      <c r="H13" s="24"/>
      <c r="I13" s="25"/>
      <c r="J13" s="24"/>
      <c r="K13" s="25">
        <f t="shared" ref="K13:K20" si="1">IF(U13=0,"",IF(F13="","",F13))</f>
        <v>16</v>
      </c>
      <c r="L13" s="27">
        <f t="shared" si="0"/>
        <v>98</v>
      </c>
      <c r="N13" s="351"/>
      <c r="O13" s="351"/>
      <c r="P13" s="351"/>
      <c r="Q13" s="351"/>
      <c r="R13" s="351"/>
      <c r="S13" s="250" t="s">
        <v>27</v>
      </c>
      <c r="T13" s="251" t="b">
        <v>1</v>
      </c>
      <c r="U13" s="249">
        <f t="shared" ref="U13:U26" si="2">IF(T13=TRUE,1,0)</f>
        <v>1</v>
      </c>
      <c r="V13" s="249" t="s">
        <v>28</v>
      </c>
      <c r="W13" s="252">
        <f>G28</f>
        <v>39</v>
      </c>
      <c r="X13" s="252"/>
      <c r="Y13" s="252">
        <f>H28</f>
        <v>35</v>
      </c>
      <c r="Z13" s="252">
        <f>K28</f>
        <v>117</v>
      </c>
      <c r="AA13" s="252">
        <f>I28</f>
        <v>28</v>
      </c>
      <c r="AB13" s="252"/>
      <c r="AC13" s="252">
        <f>J28</f>
        <v>15</v>
      </c>
      <c r="AD13" s="252"/>
      <c r="AE13" s="252">
        <f>F17+F19+F24</f>
        <v>37</v>
      </c>
      <c r="AF13" s="249"/>
      <c r="AG13" s="252">
        <f>F14+F23</f>
        <v>28</v>
      </c>
      <c r="AH13" s="249"/>
      <c r="AI13" s="249"/>
      <c r="AJ13" s="249"/>
      <c r="AK13" s="249"/>
      <c r="AL13" s="249"/>
    </row>
    <row r="14" spans="1:38" ht="21.75" customHeight="1">
      <c r="B14" s="342"/>
      <c r="C14" s="342"/>
      <c r="D14" s="28"/>
      <c r="E14" s="24"/>
      <c r="F14" s="123">
        <v>12</v>
      </c>
      <c r="G14" s="24"/>
      <c r="H14" s="24"/>
      <c r="I14" s="26">
        <f>IF(F14="","",IF(U14=0,"("&amp;F14&amp;")",F14))</f>
        <v>12</v>
      </c>
      <c r="J14" s="24"/>
      <c r="K14" s="25">
        <f t="shared" si="1"/>
        <v>12</v>
      </c>
      <c r="L14" s="27">
        <f t="shared" si="0"/>
        <v>75</v>
      </c>
      <c r="N14" s="351" t="str">
        <f>IF(W20&gt;3,"You have selected too many subtests for calculation of a Perceptual Reasoning Scale",IF(W20&lt;3,"You have selected too few subtests for calculation of a Perceptual Reasoning Scale",""))</f>
        <v/>
      </c>
      <c r="O14" s="351"/>
      <c r="P14" s="351"/>
      <c r="Q14" s="351"/>
      <c r="R14" s="351"/>
      <c r="S14" s="250" t="s">
        <v>29</v>
      </c>
      <c r="T14" s="251" t="b">
        <v>1</v>
      </c>
      <c r="U14" s="249">
        <f t="shared" si="2"/>
        <v>1</v>
      </c>
      <c r="V14" s="249" t="s">
        <v>30</v>
      </c>
      <c r="W14" s="249"/>
      <c r="X14" s="249"/>
      <c r="Y14" s="249"/>
      <c r="Z14" s="249"/>
      <c r="AA14" s="249"/>
      <c r="AB14" s="249"/>
      <c r="AC14" s="249"/>
      <c r="AD14" s="249"/>
      <c r="AE14" s="249"/>
      <c r="AF14" s="249"/>
      <c r="AG14" s="249"/>
      <c r="AH14" s="249"/>
      <c r="AI14" s="249"/>
      <c r="AJ14" s="249"/>
      <c r="AK14" s="249"/>
      <c r="AL14" s="249"/>
    </row>
    <row r="15" spans="1:38" ht="21.75" customHeight="1">
      <c r="B15" s="342"/>
      <c r="C15" s="342"/>
      <c r="D15" s="28"/>
      <c r="E15" s="24"/>
      <c r="F15" s="123">
        <v>16</v>
      </c>
      <c r="G15" s="24"/>
      <c r="H15" s="26">
        <f>IF(F15="","",IF(U15=0,"("&amp;F15&amp;")",F15))</f>
        <v>16</v>
      </c>
      <c r="I15" s="25"/>
      <c r="J15" s="24"/>
      <c r="K15" s="25">
        <f t="shared" si="1"/>
        <v>16</v>
      </c>
      <c r="L15" s="27">
        <f t="shared" si="0"/>
        <v>98</v>
      </c>
      <c r="N15" s="351"/>
      <c r="O15" s="351"/>
      <c r="P15" s="351"/>
      <c r="Q15" s="351"/>
      <c r="R15" s="351"/>
      <c r="S15" s="250" t="s">
        <v>31</v>
      </c>
      <c r="T15" s="251" t="b">
        <v>1</v>
      </c>
      <c r="U15" s="249">
        <f t="shared" si="2"/>
        <v>1</v>
      </c>
      <c r="V15" s="249" t="s">
        <v>22</v>
      </c>
      <c r="W15" s="249"/>
      <c r="X15" s="249"/>
      <c r="Y15" s="249" t="s">
        <v>12</v>
      </c>
      <c r="Z15" s="249"/>
      <c r="AA15" s="249"/>
      <c r="AB15" s="249" t="s">
        <v>12</v>
      </c>
      <c r="AC15" s="249"/>
      <c r="AD15" s="249"/>
      <c r="AE15" s="249"/>
      <c r="AF15" s="249"/>
      <c r="AG15" s="249"/>
      <c r="AH15" s="249"/>
      <c r="AI15" s="249"/>
      <c r="AJ15" s="249"/>
      <c r="AK15" s="249"/>
      <c r="AL15" s="249"/>
    </row>
    <row r="16" spans="1:38" ht="21.75" customHeight="1">
      <c r="B16" s="342"/>
      <c r="C16" s="342"/>
      <c r="D16" s="28"/>
      <c r="E16" s="24"/>
      <c r="F16" s="123">
        <v>11</v>
      </c>
      <c r="G16" s="26">
        <f>IF(F16="","",IF(U16=0,"("&amp;F16&amp;")",F16))</f>
        <v>11</v>
      </c>
      <c r="H16" s="25"/>
      <c r="I16" s="25"/>
      <c r="J16" s="24"/>
      <c r="K16" s="25">
        <f t="shared" si="1"/>
        <v>11</v>
      </c>
      <c r="L16" s="27">
        <f t="shared" si="0"/>
        <v>63</v>
      </c>
      <c r="N16" s="351" t="str">
        <f>IF(W22&lt;2,"You have too few subtest scores for calculation of a Working Memory Scale",IF(W22&gt;2,"You have too many subtest scores for calculation of a Working Memory Scale",""))</f>
        <v/>
      </c>
      <c r="O16" s="351"/>
      <c r="P16" s="351"/>
      <c r="Q16" s="351"/>
      <c r="R16" s="351"/>
      <c r="S16" s="250" t="s">
        <v>32</v>
      </c>
      <c r="T16" s="251" t="b">
        <v>1</v>
      </c>
      <c r="U16" s="249">
        <f t="shared" si="2"/>
        <v>1</v>
      </c>
      <c r="V16" s="249" t="s">
        <v>33</v>
      </c>
      <c r="W16" s="249"/>
      <c r="X16" s="249"/>
      <c r="Y16" s="249"/>
      <c r="Z16" s="249"/>
      <c r="AA16" s="249"/>
      <c r="AB16" s="249"/>
      <c r="AC16" s="249"/>
      <c r="AD16" s="249"/>
      <c r="AE16" s="249"/>
      <c r="AF16" s="249"/>
      <c r="AG16" s="249"/>
      <c r="AH16" s="249"/>
      <c r="AI16" s="249"/>
      <c r="AJ16" s="249"/>
      <c r="AK16" s="249"/>
      <c r="AL16" s="253"/>
    </row>
    <row r="17" spans="2:38" ht="21.75" customHeight="1">
      <c r="B17" s="342"/>
      <c r="C17" s="342"/>
      <c r="D17" s="30"/>
      <c r="E17" s="24"/>
      <c r="F17" s="123">
        <v>16</v>
      </c>
      <c r="G17" s="24"/>
      <c r="H17" s="25"/>
      <c r="I17" s="26">
        <f>IF(F17="","",IF(U17=0,"("&amp;F17&amp;")",F17))</f>
        <v>16</v>
      </c>
      <c r="J17" s="24"/>
      <c r="K17" s="25">
        <f t="shared" si="1"/>
        <v>16</v>
      </c>
      <c r="L17" s="27">
        <f t="shared" si="0"/>
        <v>98</v>
      </c>
      <c r="N17" s="351"/>
      <c r="O17" s="351"/>
      <c r="P17" s="351"/>
      <c r="Q17" s="351"/>
      <c r="R17" s="351"/>
      <c r="S17" s="250" t="s">
        <v>34</v>
      </c>
      <c r="T17" s="251" t="b">
        <v>1</v>
      </c>
      <c r="U17" s="249">
        <f t="shared" si="2"/>
        <v>1</v>
      </c>
      <c r="V17" s="249" t="s">
        <v>28</v>
      </c>
      <c r="W17" s="249"/>
      <c r="X17" s="249"/>
      <c r="Y17" s="249"/>
      <c r="Z17" s="161" t="s">
        <v>35</v>
      </c>
      <c r="AA17" s="249">
        <f>IF(U13+U16+U20=3,1,0)</f>
        <v>1</v>
      </c>
      <c r="AB17" s="249"/>
      <c r="AC17" s="161" t="s">
        <v>36</v>
      </c>
      <c r="AD17" s="249"/>
      <c r="AE17" s="249">
        <f>IF(U12+U19+U15=3,1,0)</f>
        <v>1</v>
      </c>
      <c r="AF17" s="249"/>
      <c r="AG17" s="249"/>
      <c r="AH17" s="249"/>
      <c r="AI17" s="249"/>
      <c r="AJ17" s="249"/>
      <c r="AK17" s="249"/>
      <c r="AL17" s="249"/>
    </row>
    <row r="18" spans="2:38" ht="21.75" customHeight="1">
      <c r="B18" s="342"/>
      <c r="C18" s="342"/>
      <c r="D18" s="30"/>
      <c r="E18" s="24"/>
      <c r="F18" s="123">
        <v>10</v>
      </c>
      <c r="G18" s="24"/>
      <c r="H18" s="25"/>
      <c r="I18" s="24"/>
      <c r="J18" s="26">
        <f>IF(F18="","",IF(U18=0,"("&amp;F18&amp;")",F18))</f>
        <v>10</v>
      </c>
      <c r="K18" s="25">
        <f t="shared" si="1"/>
        <v>10</v>
      </c>
      <c r="L18" s="27">
        <f t="shared" si="0"/>
        <v>50</v>
      </c>
      <c r="N18" s="351" t="str">
        <f>IF(W19&lt;2,"You have too few subtest scores for calculation of a Processing Speed Scale",IF(W19&gt;2,"You have too many subtest scores for calculation of a Processing Speed Scale",""))</f>
        <v/>
      </c>
      <c r="O18" s="351"/>
      <c r="P18" s="351"/>
      <c r="Q18" s="351"/>
      <c r="R18" s="351"/>
      <c r="S18" s="250" t="s">
        <v>37</v>
      </c>
      <c r="T18" s="251" t="b">
        <v>1</v>
      </c>
      <c r="U18" s="249">
        <f t="shared" si="2"/>
        <v>1</v>
      </c>
      <c r="V18" s="249" t="s">
        <v>30</v>
      </c>
      <c r="W18" s="249"/>
      <c r="X18" s="249"/>
      <c r="Y18" s="249"/>
      <c r="Z18" s="161" t="s">
        <v>38</v>
      </c>
      <c r="AA18" s="249">
        <f>IF(U20+U16+U24=3,2,0)</f>
        <v>0</v>
      </c>
      <c r="AB18" s="249"/>
      <c r="AC18" s="161" t="s">
        <v>39</v>
      </c>
      <c r="AD18" s="249"/>
      <c r="AE18" s="249">
        <f>IF(U23+U15+U19=3,2,0)</f>
        <v>0</v>
      </c>
      <c r="AF18" s="249"/>
      <c r="AG18" s="249"/>
      <c r="AH18" s="249"/>
      <c r="AI18" s="249"/>
      <c r="AJ18" s="249"/>
      <c r="AK18" s="249"/>
      <c r="AL18" s="249"/>
    </row>
    <row r="19" spans="2:38" ht="21.75" customHeight="1">
      <c r="B19" s="342"/>
      <c r="C19" s="342"/>
      <c r="D19" s="30"/>
      <c r="E19" s="24"/>
      <c r="F19" s="123">
        <v>9</v>
      </c>
      <c r="G19" s="24"/>
      <c r="H19" s="26">
        <f>IF(F19="","",IF(U19=0,"("&amp;F19&amp;")",F19))</f>
        <v>9</v>
      </c>
      <c r="I19" s="24"/>
      <c r="J19" s="24"/>
      <c r="K19" s="25">
        <f t="shared" si="1"/>
        <v>9</v>
      </c>
      <c r="L19" s="27">
        <f t="shared" si="0"/>
        <v>37</v>
      </c>
      <c r="N19" s="351"/>
      <c r="O19" s="351"/>
      <c r="P19" s="351"/>
      <c r="Q19" s="351"/>
      <c r="R19" s="351"/>
      <c r="S19" s="250" t="s">
        <v>40</v>
      </c>
      <c r="T19" s="251" t="b">
        <v>1</v>
      </c>
      <c r="U19" s="249">
        <f t="shared" si="2"/>
        <v>1</v>
      </c>
      <c r="V19" s="249" t="s">
        <v>22</v>
      </c>
      <c r="W19" s="249">
        <f>U18+U21+U25</f>
        <v>2</v>
      </c>
      <c r="X19" s="249" t="s">
        <v>25</v>
      </c>
      <c r="Y19" s="249"/>
      <c r="Z19" s="161" t="s">
        <v>41</v>
      </c>
      <c r="AA19" s="249">
        <f>IF(U13+U24+U20=3,3,0)</f>
        <v>0</v>
      </c>
      <c r="AB19" s="249"/>
      <c r="AC19" s="161" t="s">
        <v>42</v>
      </c>
      <c r="AD19" s="249"/>
      <c r="AE19" s="249">
        <f>IF(U12+U19+U23=3,3,0)</f>
        <v>0</v>
      </c>
      <c r="AF19" s="249"/>
      <c r="AG19" s="249"/>
      <c r="AH19" s="249"/>
      <c r="AI19" s="249"/>
      <c r="AJ19" s="249"/>
      <c r="AK19" s="249"/>
      <c r="AL19" s="249"/>
    </row>
    <row r="20" spans="2:38" ht="21.75" customHeight="1">
      <c r="B20" s="342"/>
      <c r="C20" s="342"/>
      <c r="D20" s="30"/>
      <c r="E20" s="24"/>
      <c r="F20" s="123">
        <v>12</v>
      </c>
      <c r="G20" s="26">
        <f>IF(F20="","",IF(U20=0,"("&amp;F20&amp;")",F20))</f>
        <v>12</v>
      </c>
      <c r="H20" s="24"/>
      <c r="I20" s="25"/>
      <c r="J20" s="24"/>
      <c r="K20" s="25">
        <f t="shared" si="1"/>
        <v>12</v>
      </c>
      <c r="L20" s="27">
        <f t="shared" si="0"/>
        <v>75</v>
      </c>
      <c r="N20" s="127"/>
      <c r="O20" s="127"/>
      <c r="P20" s="127"/>
      <c r="Q20" s="127"/>
      <c r="S20" s="250" t="s">
        <v>43</v>
      </c>
      <c r="T20" s="251" t="b">
        <v>1</v>
      </c>
      <c r="U20" s="249">
        <f t="shared" si="2"/>
        <v>1</v>
      </c>
      <c r="V20" s="249" t="s">
        <v>28</v>
      </c>
      <c r="W20" s="249">
        <f>U12+U15+U19+U23+U26</f>
        <v>3</v>
      </c>
      <c r="X20" s="249" t="s">
        <v>14</v>
      </c>
      <c r="Y20" s="249"/>
      <c r="Z20" s="161" t="s">
        <v>44</v>
      </c>
      <c r="AA20" s="249">
        <f>IF(U13+U24+U16=3,4,0)</f>
        <v>0</v>
      </c>
      <c r="AB20" s="249"/>
      <c r="AC20" s="161" t="s">
        <v>45</v>
      </c>
      <c r="AD20" s="249"/>
      <c r="AE20" s="249">
        <f>IF(U12+U23+U15=3,4,0)</f>
        <v>0</v>
      </c>
      <c r="AF20" s="249"/>
      <c r="AG20" s="249"/>
      <c r="AH20" s="249"/>
      <c r="AI20" s="249"/>
      <c r="AJ20" s="249"/>
      <c r="AK20" s="249"/>
      <c r="AL20" s="249"/>
    </row>
    <row r="21" spans="2:38" ht="21.75" customHeight="1" thickBot="1">
      <c r="B21" s="342"/>
      <c r="C21" s="342"/>
      <c r="D21" s="31"/>
      <c r="E21" s="24"/>
      <c r="F21" s="123">
        <v>5</v>
      </c>
      <c r="G21" s="24"/>
      <c r="H21" s="24"/>
      <c r="I21" s="25"/>
      <c r="J21" s="26">
        <f>IF(F21="","",IF(U21=0,"("&amp;F21&amp;")",F21))</f>
        <v>5</v>
      </c>
      <c r="K21" s="25">
        <f t="shared" ref="K21:K26" si="3">IF(U21=0,"",IF(F21="","",F21))</f>
        <v>5</v>
      </c>
      <c r="L21" s="27">
        <f t="shared" si="0"/>
        <v>5</v>
      </c>
      <c r="N21" s="351" t="str">
        <f>IF(W23&gt;10,"You have selected too many subtests for inclusion in a Full Scale IQ",IF(W23&lt;10,"You have selected too few subtests for calculation of a Full Scale IQ",""))</f>
        <v/>
      </c>
      <c r="O21" s="351"/>
      <c r="P21" s="351"/>
      <c r="Q21" s="351"/>
      <c r="R21" s="351"/>
      <c r="S21" s="250" t="s">
        <v>46</v>
      </c>
      <c r="T21" s="251" t="b">
        <v>1</v>
      </c>
      <c r="U21" s="249">
        <f t="shared" si="2"/>
        <v>1</v>
      </c>
      <c r="V21" s="249" t="s">
        <v>33</v>
      </c>
      <c r="W21" s="249">
        <f>U13+U16+U20+U24</f>
        <v>3</v>
      </c>
      <c r="X21" s="249" t="s">
        <v>47</v>
      </c>
      <c r="Y21" s="249"/>
      <c r="Z21" s="161"/>
      <c r="AA21" s="249"/>
      <c r="AB21" s="249"/>
      <c r="AC21" s="161" t="s">
        <v>48</v>
      </c>
      <c r="AD21" s="249"/>
      <c r="AE21" s="249">
        <f>IF(U15+U26+U19=3,5,0)</f>
        <v>0</v>
      </c>
      <c r="AF21" s="249"/>
      <c r="AG21" s="249"/>
      <c r="AH21" s="249"/>
      <c r="AI21" s="249"/>
      <c r="AJ21" s="249"/>
      <c r="AK21" s="249"/>
      <c r="AL21" s="253"/>
    </row>
    <row r="22" spans="2:38" ht="21.75" customHeight="1">
      <c r="B22" s="342"/>
      <c r="C22" s="342"/>
      <c r="D22" s="32"/>
      <c r="E22" s="24"/>
      <c r="F22" s="123">
        <v>11</v>
      </c>
      <c r="G22" s="24"/>
      <c r="H22" s="24"/>
      <c r="I22" s="26" t="str">
        <f>IF(F22="","",IF(U22=0,"("&amp;F22&amp;")",F22))</f>
        <v>(11)</v>
      </c>
      <c r="J22" s="25"/>
      <c r="K22" s="25" t="str">
        <f t="shared" si="3"/>
        <v/>
      </c>
      <c r="L22" s="27">
        <f t="shared" si="0"/>
        <v>63</v>
      </c>
      <c r="N22" s="351"/>
      <c r="O22" s="351"/>
      <c r="P22" s="351"/>
      <c r="Q22" s="351"/>
      <c r="R22" s="351"/>
      <c r="S22" s="250" t="s">
        <v>49</v>
      </c>
      <c r="T22" s="251" t="b">
        <v>0</v>
      </c>
      <c r="U22" s="249">
        <f t="shared" si="2"/>
        <v>0</v>
      </c>
      <c r="V22" s="249" t="s">
        <v>22</v>
      </c>
      <c r="W22" s="249">
        <f>U14+U17+U22</f>
        <v>2</v>
      </c>
      <c r="X22" s="249" t="s">
        <v>50</v>
      </c>
      <c r="Y22" s="249"/>
      <c r="Z22" s="161"/>
      <c r="AA22" s="249"/>
      <c r="AB22" s="249"/>
      <c r="AC22" s="161" t="s">
        <v>51</v>
      </c>
      <c r="AD22" s="249"/>
      <c r="AE22" s="249">
        <f>IF(U12+U26+U19=3,6,0)</f>
        <v>0</v>
      </c>
      <c r="AF22" s="249"/>
      <c r="AG22" s="249"/>
      <c r="AH22" s="249"/>
      <c r="AI22" s="249"/>
      <c r="AJ22" s="249"/>
      <c r="AK22" s="249"/>
      <c r="AL22" s="249"/>
    </row>
    <row r="23" spans="2:38" ht="21.75" customHeight="1">
      <c r="B23" s="342"/>
      <c r="C23" s="342"/>
      <c r="D23" s="33"/>
      <c r="E23" s="24"/>
      <c r="F23" s="123">
        <v>16</v>
      </c>
      <c r="G23" s="25"/>
      <c r="H23" s="26" t="str">
        <f>IF(F23="","",IF(U23=0,"("&amp;F23&amp;")",F23))</f>
        <v>(16)</v>
      </c>
      <c r="I23" s="25"/>
      <c r="J23" s="24"/>
      <c r="K23" s="25" t="str">
        <f t="shared" si="3"/>
        <v/>
      </c>
      <c r="L23" s="27">
        <f t="shared" si="0"/>
        <v>98</v>
      </c>
      <c r="N23" s="351" t="str">
        <f>IF(AND(W21=3,AA24&gt;0),"The VCI is based upon the following subtests:                                      "&amp;CHOOSE(AA24,Z17,Z18,Z19,Z20),IF(AA24=0,"The combination of VCI subtests chosen cannot be used to compute an IQ.",""))</f>
        <v>The VCI is based upon the following subtests:                                      S V I</v>
      </c>
      <c r="O23" s="351"/>
      <c r="P23" s="351"/>
      <c r="Q23" s="351"/>
      <c r="R23" s="351"/>
      <c r="S23" s="250" t="s">
        <v>52</v>
      </c>
      <c r="T23" s="251" t="b">
        <v>0</v>
      </c>
      <c r="U23" s="249">
        <f>IF(T23=TRUE,1,0)</f>
        <v>0</v>
      </c>
      <c r="V23" s="249" t="s">
        <v>33</v>
      </c>
      <c r="W23" s="249">
        <f>SUM(U12:U26)</f>
        <v>10</v>
      </c>
      <c r="X23" s="249" t="s">
        <v>53</v>
      </c>
      <c r="Y23" s="249"/>
      <c r="Z23" s="161"/>
      <c r="AA23" s="249"/>
      <c r="AB23" s="249"/>
      <c r="AC23" s="161" t="s">
        <v>54</v>
      </c>
      <c r="AD23" s="249"/>
      <c r="AE23" s="249">
        <f>IF(U12+U26+U15=3,7,0)</f>
        <v>0</v>
      </c>
      <c r="AF23" s="249"/>
      <c r="AG23" s="249"/>
      <c r="AH23" s="249"/>
      <c r="AI23" s="249"/>
      <c r="AJ23" s="249"/>
      <c r="AK23" s="249"/>
      <c r="AL23" s="249"/>
    </row>
    <row r="24" spans="2:38" ht="21.75" customHeight="1">
      <c r="B24" s="342"/>
      <c r="C24" s="342"/>
      <c r="D24" s="32"/>
      <c r="E24" s="24"/>
      <c r="F24" s="123">
        <v>12</v>
      </c>
      <c r="G24" s="26" t="str">
        <f>IF(F24="","",IF(U24=0,"("&amp;F24&amp;")",F24))</f>
        <v>(12)</v>
      </c>
      <c r="H24" s="24"/>
      <c r="I24" s="24"/>
      <c r="J24" s="24"/>
      <c r="K24" s="25" t="str">
        <f t="shared" si="3"/>
        <v/>
      </c>
      <c r="L24" s="27">
        <f t="shared" si="0"/>
        <v>75</v>
      </c>
      <c r="N24" s="351"/>
      <c r="O24" s="351"/>
      <c r="P24" s="351"/>
      <c r="Q24" s="351"/>
      <c r="R24" s="351"/>
      <c r="S24" s="250" t="s">
        <v>55</v>
      </c>
      <c r="T24" s="251" t="b">
        <v>0</v>
      </c>
      <c r="U24" s="249">
        <f t="shared" si="2"/>
        <v>0</v>
      </c>
      <c r="V24" s="249" t="s">
        <v>28</v>
      </c>
      <c r="W24" s="249"/>
      <c r="X24" s="249"/>
      <c r="Y24" s="249"/>
      <c r="Z24" s="249" t="s">
        <v>56</v>
      </c>
      <c r="AA24" s="249">
        <f>SUM(AA17:AA20)</f>
        <v>1</v>
      </c>
      <c r="AB24" s="249"/>
      <c r="AC24" s="249"/>
      <c r="AD24" s="249" t="s">
        <v>57</v>
      </c>
      <c r="AE24" s="249">
        <f>SUM(AE17:AE23)</f>
        <v>1</v>
      </c>
      <c r="AF24" s="249" t="s">
        <v>58</v>
      </c>
      <c r="AG24" s="249">
        <f>IF(U19=1,1,IF(U17=1,2,0))</f>
        <v>1</v>
      </c>
      <c r="AH24" s="249"/>
      <c r="AI24" s="249"/>
      <c r="AJ24" s="249"/>
      <c r="AK24" s="249"/>
      <c r="AL24" s="249"/>
    </row>
    <row r="25" spans="2:38" ht="21.75" customHeight="1">
      <c r="B25" s="342"/>
      <c r="C25" s="342"/>
      <c r="D25" s="32"/>
      <c r="E25" s="24"/>
      <c r="F25" s="123">
        <v>7</v>
      </c>
      <c r="G25" s="24"/>
      <c r="H25" s="24"/>
      <c r="I25" s="24"/>
      <c r="J25" s="26" t="str">
        <f>IF(F25="","",IF(U25=0,"("&amp;F25&amp;")",F25))</f>
        <v>(7)</v>
      </c>
      <c r="K25" s="25" t="str">
        <f t="shared" si="3"/>
        <v/>
      </c>
      <c r="L25" s="27">
        <f t="shared" si="0"/>
        <v>16</v>
      </c>
      <c r="N25" s="351" t="str">
        <f>IF(AND(W20=3,AE24&gt;0),"The PRI is based upon the following subtests:                      "&amp;CHOOSE(AE24,AC17,AC18,AC19,AC20,AC21,AC22,AC23),IF(AE24=0,"The combination of PRI subtests chosen cannot be used to compute an IQ.",""))</f>
        <v>The PRI is based upon the following subtests:                      BD MR VP</v>
      </c>
      <c r="O25" s="351"/>
      <c r="P25" s="351"/>
      <c r="Q25" s="351"/>
      <c r="R25" s="351"/>
      <c r="S25" s="250" t="s">
        <v>59</v>
      </c>
      <c r="T25" s="251" t="b">
        <v>0</v>
      </c>
      <c r="U25" s="249">
        <f t="shared" si="2"/>
        <v>0</v>
      </c>
      <c r="V25" s="249" t="s">
        <v>30</v>
      </c>
      <c r="W25" s="249"/>
      <c r="X25" s="249"/>
      <c r="Y25" s="249"/>
      <c r="Z25" s="249"/>
      <c r="AA25" s="249"/>
      <c r="AB25" s="249"/>
      <c r="AC25" s="249"/>
      <c r="AD25" s="249"/>
      <c r="AE25" s="249"/>
      <c r="AF25" s="249"/>
      <c r="AG25" s="249"/>
      <c r="AH25" s="249"/>
      <c r="AI25" s="249"/>
      <c r="AJ25" s="249"/>
      <c r="AK25" s="249"/>
      <c r="AL25" s="253"/>
    </row>
    <row r="26" spans="2:38" ht="21.75" customHeight="1">
      <c r="B26" s="342"/>
      <c r="C26" s="342"/>
      <c r="D26" s="33"/>
      <c r="E26" s="24"/>
      <c r="F26" s="123">
        <v>10</v>
      </c>
      <c r="G26" s="24"/>
      <c r="H26" s="26" t="str">
        <f>IF(F26="","",IF(U26=0,"("&amp;F26&amp;")",F26))</f>
        <v>(10)</v>
      </c>
      <c r="I26" s="25"/>
      <c r="J26" s="25"/>
      <c r="K26" s="25" t="str">
        <f t="shared" si="3"/>
        <v/>
      </c>
      <c r="L26" s="27">
        <f t="shared" si="0"/>
        <v>50</v>
      </c>
      <c r="N26" s="351"/>
      <c r="O26" s="351"/>
      <c r="P26" s="351"/>
      <c r="Q26" s="351"/>
      <c r="R26" s="351"/>
      <c r="S26" s="250" t="s">
        <v>60</v>
      </c>
      <c r="T26" s="251" t="b">
        <v>0</v>
      </c>
      <c r="U26" s="249">
        <f t="shared" si="2"/>
        <v>0</v>
      </c>
      <c r="V26" s="249" t="s">
        <v>28</v>
      </c>
      <c r="W26" s="249"/>
      <c r="X26" s="249"/>
      <c r="Y26" s="249"/>
      <c r="Z26" s="249"/>
      <c r="AA26" s="249"/>
      <c r="AB26" s="249"/>
      <c r="AC26" s="249"/>
      <c r="AD26" s="249"/>
      <c r="AE26" s="249"/>
      <c r="AF26" s="249"/>
      <c r="AG26" s="249"/>
      <c r="AH26" s="249"/>
      <c r="AI26" s="249"/>
      <c r="AJ26" s="249"/>
      <c r="AK26" s="249"/>
      <c r="AL26" s="249"/>
    </row>
    <row r="27" spans="2:38" ht="3.75" customHeight="1">
      <c r="B27" s="22"/>
      <c r="C27" s="22"/>
      <c r="D27" s="20"/>
      <c r="E27" s="20"/>
      <c r="F27" s="20"/>
      <c r="G27" s="20"/>
      <c r="H27" s="20"/>
      <c r="I27" s="20"/>
      <c r="J27" s="20"/>
      <c r="K27" s="20"/>
      <c r="L27" s="20"/>
      <c r="N27" s="29"/>
      <c r="O27" s="29"/>
      <c r="P27" s="29"/>
      <c r="Q27" s="29"/>
      <c r="R27" s="174"/>
      <c r="S27" s="250"/>
      <c r="T27" s="251"/>
      <c r="U27" s="249"/>
      <c r="V27" s="249"/>
      <c r="W27" s="249"/>
      <c r="X27" s="249"/>
      <c r="Y27" s="249"/>
      <c r="Z27" s="249"/>
      <c r="AA27" s="249"/>
      <c r="AB27" s="249"/>
      <c r="AC27" s="249"/>
      <c r="AD27" s="249"/>
      <c r="AE27" s="249"/>
      <c r="AF27" s="249"/>
      <c r="AG27" s="249"/>
      <c r="AH27" s="249"/>
      <c r="AI27" s="249"/>
      <c r="AJ27" s="249"/>
      <c r="AK27" s="249"/>
      <c r="AL27" s="249"/>
    </row>
    <row r="28" spans="2:38" ht="22.5" customHeight="1">
      <c r="B28" s="34"/>
      <c r="C28" s="34"/>
      <c r="D28" s="34"/>
      <c r="E28" s="34"/>
      <c r="F28" s="132" t="s">
        <v>61</v>
      </c>
      <c r="G28" s="27">
        <f>SUM(G13:G26)</f>
        <v>39</v>
      </c>
      <c r="H28" s="27">
        <f>SUM(H12:H24)</f>
        <v>35</v>
      </c>
      <c r="I28" s="27">
        <f>SUM(I14:I25)</f>
        <v>28</v>
      </c>
      <c r="J28" s="27">
        <f>SUM(J17:J23)</f>
        <v>15</v>
      </c>
      <c r="K28" s="27">
        <f>SUM(K12:K26)</f>
        <v>117</v>
      </c>
      <c r="L28" s="34"/>
      <c r="M28" s="34"/>
      <c r="N28" s="135" t="s">
        <v>62</v>
      </c>
      <c r="O28" s="21"/>
      <c r="P28" s="21"/>
      <c r="Q28" s="21"/>
      <c r="R28" s="129"/>
      <c r="S28" s="250"/>
      <c r="T28" s="249"/>
      <c r="U28" s="249"/>
      <c r="V28" s="249"/>
      <c r="W28" s="249"/>
      <c r="X28" s="249"/>
      <c r="Y28" s="249"/>
      <c r="Z28" s="249"/>
      <c r="AA28" s="249"/>
      <c r="AB28" s="249"/>
      <c r="AC28" s="249"/>
      <c r="AD28" s="249"/>
      <c r="AE28" s="249"/>
      <c r="AF28" s="249"/>
      <c r="AG28" s="249"/>
      <c r="AH28" s="249"/>
      <c r="AI28" s="249"/>
      <c r="AJ28" s="249"/>
      <c r="AK28" s="249"/>
      <c r="AL28" s="249"/>
    </row>
    <row r="29" spans="2:38" ht="3.75" customHeight="1">
      <c r="B29" s="34"/>
      <c r="C29" s="34"/>
      <c r="D29" s="34"/>
      <c r="E29" s="34"/>
      <c r="F29" s="19"/>
      <c r="G29" s="20"/>
      <c r="H29" s="20"/>
      <c r="I29" s="20"/>
      <c r="J29" s="20"/>
      <c r="K29" s="20"/>
      <c r="L29" s="34"/>
      <c r="M29" s="34"/>
      <c r="N29" s="21"/>
      <c r="O29" s="21"/>
      <c r="P29" s="21"/>
      <c r="Q29" s="21"/>
      <c r="R29" s="129"/>
      <c r="S29" s="250"/>
      <c r="T29" s="249"/>
      <c r="U29" s="249"/>
      <c r="V29" s="249"/>
      <c r="W29" s="249"/>
      <c r="X29" s="249"/>
      <c r="Y29" s="249"/>
      <c r="Z29" s="249"/>
      <c r="AA29" s="249"/>
      <c r="AB29" s="249"/>
      <c r="AC29" s="249"/>
      <c r="AD29" s="249"/>
      <c r="AE29" s="249"/>
      <c r="AF29" s="249"/>
      <c r="AG29" s="249"/>
      <c r="AH29" s="249"/>
      <c r="AI29" s="249"/>
      <c r="AJ29" s="249"/>
      <c r="AK29" s="249"/>
      <c r="AL29" s="249"/>
    </row>
    <row r="30" spans="2:38" ht="22.5" customHeight="1">
      <c r="B30" s="331" t="s">
        <v>63</v>
      </c>
      <c r="C30" s="331"/>
      <c r="D30" s="33" t="s">
        <v>64</v>
      </c>
      <c r="E30" s="25"/>
      <c r="F30" s="123">
        <v>14</v>
      </c>
      <c r="G30" s="25"/>
      <c r="H30" s="25"/>
      <c r="I30" s="25"/>
      <c r="J30" s="25"/>
      <c r="K30" s="24"/>
      <c r="L30" s="27">
        <f>IF(F30="","",LOOKUP(F30,$D$344:$W$344,$D$345:$W$345))</f>
        <v>91</v>
      </c>
      <c r="M30" s="17"/>
      <c r="N30" s="21"/>
      <c r="O30" s="21"/>
      <c r="P30" s="21"/>
      <c r="Q30" s="21"/>
      <c r="R30" s="129"/>
      <c r="S30" s="250"/>
      <c r="T30" s="249"/>
      <c r="U30" s="249"/>
      <c r="V30" s="249"/>
      <c r="W30" s="249"/>
      <c r="X30" s="249"/>
      <c r="Y30" s="249"/>
      <c r="Z30" s="249"/>
      <c r="AA30" s="249"/>
      <c r="AB30" s="249"/>
      <c r="AC30" s="249"/>
      <c r="AD30" s="249"/>
      <c r="AE30" s="249"/>
      <c r="AF30" s="249"/>
      <c r="AG30" s="249"/>
      <c r="AH30" s="249"/>
      <c r="AI30" s="249"/>
      <c r="AJ30" s="249"/>
      <c r="AK30" s="249"/>
      <c r="AL30" s="249"/>
    </row>
    <row r="31" spans="2:38" ht="22.5" customHeight="1">
      <c r="B31" s="331"/>
      <c r="C31" s="331"/>
      <c r="D31" s="33" t="s">
        <v>65</v>
      </c>
      <c r="E31" s="25"/>
      <c r="F31" s="123">
        <v>18</v>
      </c>
      <c r="G31" s="25"/>
      <c r="H31" s="25"/>
      <c r="I31" s="25"/>
      <c r="J31" s="25"/>
      <c r="K31" s="24"/>
      <c r="L31" s="27">
        <f>IF(F31="","",LOOKUP(F31,$D$344:$W$344,$D$345:$W$345))</f>
        <v>99.599999999999</v>
      </c>
      <c r="M31" s="17"/>
      <c r="N31" s="21"/>
      <c r="O31" s="21"/>
      <c r="P31" s="21"/>
      <c r="Q31" s="21"/>
      <c r="R31" s="129"/>
      <c r="S31" s="250"/>
      <c r="T31" s="249"/>
      <c r="U31" s="249"/>
      <c r="V31" s="249"/>
      <c r="W31" s="249"/>
      <c r="X31" s="249"/>
      <c r="Y31" s="249"/>
      <c r="Z31" s="249"/>
      <c r="AA31" s="249"/>
      <c r="AB31" s="249"/>
      <c r="AC31" s="249"/>
      <c r="AD31" s="249"/>
      <c r="AE31" s="249"/>
      <c r="AF31" s="249"/>
      <c r="AG31" s="249"/>
      <c r="AH31" s="249"/>
      <c r="AI31" s="249"/>
      <c r="AJ31" s="249"/>
      <c r="AK31" s="249"/>
      <c r="AL31" s="249"/>
    </row>
    <row r="32" spans="2:38" ht="22.5" customHeight="1">
      <c r="B32" s="331"/>
      <c r="C32" s="331"/>
      <c r="D32" s="33" t="s">
        <v>66</v>
      </c>
      <c r="E32" s="25"/>
      <c r="F32" s="123">
        <v>17</v>
      </c>
      <c r="G32" s="25"/>
      <c r="H32" s="25"/>
      <c r="I32" s="25"/>
      <c r="J32" s="25"/>
      <c r="K32" s="24"/>
      <c r="L32" s="27">
        <f>IF(F32="","",LOOKUP(F32,$D$344:$W$344,$D$345:$W$345))</f>
        <v>99</v>
      </c>
      <c r="M32" s="17"/>
      <c r="N32" s="21"/>
      <c r="O32" s="21"/>
      <c r="P32" s="21"/>
      <c r="Q32" s="21"/>
      <c r="R32" s="129"/>
      <c r="S32" s="250"/>
      <c r="T32" s="249"/>
      <c r="U32" s="249"/>
      <c r="V32" s="249"/>
      <c r="W32" s="249"/>
      <c r="X32" s="249"/>
      <c r="Y32" s="249"/>
      <c r="Z32" s="249"/>
      <c r="AA32" s="249"/>
      <c r="AB32" s="249"/>
      <c r="AC32" s="249"/>
      <c r="AD32" s="249"/>
      <c r="AE32" s="249"/>
      <c r="AF32" s="249"/>
      <c r="AG32" s="249"/>
      <c r="AH32" s="249"/>
      <c r="AI32" s="249"/>
      <c r="AJ32" s="249"/>
      <c r="AK32" s="249"/>
      <c r="AL32" s="249"/>
    </row>
    <row r="33" spans="1:38" ht="22.5" customHeight="1">
      <c r="B33" s="331"/>
      <c r="C33" s="331"/>
      <c r="D33" s="33" t="s">
        <v>67</v>
      </c>
      <c r="E33" s="25"/>
      <c r="F33" s="123">
        <v>13</v>
      </c>
      <c r="G33" s="25"/>
      <c r="H33" s="25"/>
      <c r="I33" s="25"/>
      <c r="J33" s="25"/>
      <c r="K33" s="24"/>
      <c r="L33" s="27">
        <f>IF(F33="","",LOOKUP(F33,$D$344:$W$344,$D$345:$W$345))</f>
        <v>84</v>
      </c>
      <c r="M33" s="17"/>
      <c r="N33" s="21"/>
      <c r="O33" s="21"/>
      <c r="P33" s="21"/>
      <c r="Q33" s="21"/>
      <c r="R33" s="129"/>
      <c r="S33" s="250"/>
      <c r="T33" s="249"/>
      <c r="U33" s="249"/>
      <c r="V33" s="249"/>
      <c r="W33" s="249"/>
      <c r="X33" s="249"/>
      <c r="Y33" s="249"/>
      <c r="Z33" s="249"/>
      <c r="AA33" s="249"/>
      <c r="AB33" s="249"/>
      <c r="AC33" s="249"/>
      <c r="AD33" s="249"/>
      <c r="AE33" s="249"/>
      <c r="AF33" s="249"/>
      <c r="AG33" s="249"/>
      <c r="AH33" s="249"/>
      <c r="AI33" s="249"/>
      <c r="AJ33" s="249"/>
      <c r="AK33" s="249"/>
      <c r="AL33" s="249"/>
    </row>
    <row r="34" spans="1:38" ht="22.5" customHeight="1">
      <c r="B34" s="331"/>
      <c r="C34" s="331"/>
      <c r="D34" s="320" t="s">
        <v>68</v>
      </c>
      <c r="E34" s="320"/>
      <c r="F34" s="320"/>
      <c r="G34" s="123">
        <v>9</v>
      </c>
      <c r="H34" s="25"/>
      <c r="I34" s="25"/>
      <c r="J34" s="25"/>
      <c r="K34" s="24"/>
      <c r="L34" s="20"/>
      <c r="M34" s="17"/>
      <c r="N34" s="21"/>
      <c r="O34" s="21"/>
      <c r="P34" s="21"/>
      <c r="Q34" s="21"/>
      <c r="R34" s="129"/>
      <c r="S34" s="250"/>
      <c r="T34" s="249"/>
      <c r="U34" s="249"/>
      <c r="V34" s="249"/>
      <c r="W34" s="249"/>
      <c r="X34" s="249"/>
      <c r="Y34" s="249"/>
      <c r="Z34" s="249"/>
      <c r="AA34" s="249"/>
      <c r="AB34" s="249"/>
      <c r="AC34" s="249"/>
      <c r="AD34" s="249"/>
      <c r="AE34" s="249"/>
      <c r="AF34" s="249"/>
      <c r="AG34" s="249"/>
      <c r="AH34" s="249"/>
      <c r="AI34" s="249"/>
      <c r="AJ34" s="249"/>
      <c r="AK34" s="249"/>
      <c r="AL34" s="249"/>
    </row>
    <row r="35" spans="1:38" ht="21.75" customHeight="1">
      <c r="B35" s="331"/>
      <c r="C35" s="331"/>
      <c r="D35" s="320" t="s">
        <v>69</v>
      </c>
      <c r="E35" s="320"/>
      <c r="F35" s="320"/>
      <c r="G35" s="123">
        <v>8</v>
      </c>
      <c r="H35" s="25"/>
      <c r="I35" s="25"/>
      <c r="J35" s="25"/>
      <c r="K35" s="24"/>
      <c r="M35" s="17"/>
      <c r="N35" s="21"/>
      <c r="O35" s="21"/>
      <c r="P35" s="21"/>
      <c r="Q35" s="21"/>
      <c r="R35" s="129"/>
      <c r="S35" s="250"/>
      <c r="T35" s="249"/>
      <c r="U35" s="249"/>
      <c r="V35" s="249"/>
      <c r="W35" s="249"/>
      <c r="X35" s="249"/>
      <c r="Y35" s="249"/>
      <c r="Z35" s="249"/>
      <c r="AA35" s="249"/>
      <c r="AB35" s="249"/>
      <c r="AC35" s="249"/>
      <c r="AD35" s="249"/>
      <c r="AE35" s="249"/>
      <c r="AF35" s="249"/>
      <c r="AG35" s="249"/>
      <c r="AH35" s="249"/>
      <c r="AI35" s="249"/>
      <c r="AJ35" s="249"/>
      <c r="AK35" s="249"/>
      <c r="AL35" s="249"/>
    </row>
    <row r="36" spans="1:38" ht="21.75" customHeight="1">
      <c r="B36" s="331"/>
      <c r="C36" s="331"/>
      <c r="D36" s="320" t="s">
        <v>70</v>
      </c>
      <c r="E36" s="320"/>
      <c r="F36" s="320"/>
      <c r="G36" s="123">
        <v>7</v>
      </c>
      <c r="H36" s="25"/>
      <c r="I36" s="25"/>
      <c r="J36" s="25"/>
      <c r="K36" s="24"/>
      <c r="M36" s="17"/>
      <c r="N36" s="21"/>
      <c r="O36" s="21"/>
      <c r="P36" s="21"/>
      <c r="Q36" s="21"/>
      <c r="R36" s="129"/>
      <c r="S36" s="250"/>
      <c r="T36" s="249"/>
      <c r="U36" s="249"/>
      <c r="V36" s="249"/>
      <c r="W36" s="249"/>
      <c r="X36" s="249"/>
      <c r="Y36" s="249"/>
      <c r="Z36" s="249"/>
      <c r="AA36" s="249"/>
      <c r="AB36" s="249"/>
      <c r="AC36" s="249"/>
      <c r="AD36" s="249"/>
      <c r="AE36" s="249"/>
      <c r="AF36" s="249"/>
      <c r="AG36" s="249"/>
      <c r="AH36" s="249"/>
      <c r="AI36" s="249"/>
      <c r="AJ36" s="249"/>
      <c r="AK36" s="249"/>
      <c r="AL36" s="249"/>
    </row>
    <row r="37" spans="1:38" ht="17.100000000000001" customHeight="1">
      <c r="B37" s="331"/>
      <c r="C37" s="331"/>
      <c r="D37" s="320" t="s">
        <v>71</v>
      </c>
      <c r="E37" s="320"/>
      <c r="F37" s="320"/>
      <c r="G37" s="123">
        <v>8</v>
      </c>
      <c r="H37" s="25"/>
      <c r="I37" s="25"/>
      <c r="J37" s="25"/>
      <c r="K37" s="24"/>
      <c r="M37" s="17"/>
      <c r="N37" s="17"/>
      <c r="O37" s="17"/>
      <c r="P37" s="17"/>
      <c r="Q37" s="17"/>
      <c r="R37" s="129"/>
      <c r="S37" s="250"/>
      <c r="T37" s="249"/>
      <c r="U37" s="252" t="s">
        <v>33</v>
      </c>
      <c r="V37" s="249">
        <f>IF(F13="","",1)</f>
        <v>1</v>
      </c>
      <c r="W37" s="249">
        <f>IF(F13="","",F13)</f>
        <v>16</v>
      </c>
      <c r="X37" s="252" t="s">
        <v>21</v>
      </c>
      <c r="Y37" s="249">
        <f>IF(F12="","",1)</f>
        <v>1</v>
      </c>
      <c r="Z37" s="249">
        <f>IF(F12="","",F12)</f>
        <v>10</v>
      </c>
      <c r="AA37" s="252" t="s">
        <v>46</v>
      </c>
      <c r="AB37" s="249">
        <f>IF(F21="","",1)</f>
        <v>1</v>
      </c>
      <c r="AC37" s="249">
        <f>IF(F21="","",F21)</f>
        <v>5</v>
      </c>
      <c r="AD37" s="254" t="s">
        <v>29</v>
      </c>
      <c r="AE37" s="249">
        <f>IF(F14="","",1)</f>
        <v>1</v>
      </c>
      <c r="AF37" s="255">
        <f>IF(F14="","",F14)</f>
        <v>12</v>
      </c>
      <c r="AG37" s="255"/>
      <c r="AH37" s="255"/>
      <c r="AI37" s="249"/>
      <c r="AJ37" s="249"/>
      <c r="AK37" s="249"/>
      <c r="AL37" s="249"/>
    </row>
    <row r="38" spans="1:38" ht="30.75" customHeight="1">
      <c r="A38" s="334" t="s">
        <v>72</v>
      </c>
      <c r="B38" s="334"/>
      <c r="C38" s="334"/>
      <c r="D38" s="334"/>
      <c r="E38" s="334"/>
      <c r="F38" s="334"/>
      <c r="G38" s="334"/>
      <c r="H38" s="334"/>
      <c r="I38" s="334"/>
      <c r="J38" s="334"/>
      <c r="K38" s="334"/>
      <c r="L38" s="334"/>
      <c r="M38" s="334"/>
      <c r="N38" s="334"/>
      <c r="O38" s="334"/>
      <c r="P38" s="334"/>
      <c r="Q38" s="334"/>
      <c r="R38" s="334"/>
      <c r="S38" s="249"/>
      <c r="T38" s="249"/>
      <c r="U38" s="252" t="s">
        <v>28</v>
      </c>
      <c r="V38" s="249">
        <f>IF(F16="","",1)</f>
        <v>1</v>
      </c>
      <c r="W38" s="249">
        <f>IF(F16="","",F16)</f>
        <v>11</v>
      </c>
      <c r="X38" s="252" t="s">
        <v>31</v>
      </c>
      <c r="Y38" s="249">
        <f>IF(F15="","",1)</f>
        <v>1</v>
      </c>
      <c r="Z38" s="249">
        <f>IF(F15="","",F15)</f>
        <v>16</v>
      </c>
      <c r="AA38" s="252" t="s">
        <v>12</v>
      </c>
      <c r="AB38" s="249">
        <f>IF(F18="","",1)</f>
        <v>1</v>
      </c>
      <c r="AC38" s="249">
        <f>IF(F18="","",F18)</f>
        <v>10</v>
      </c>
      <c r="AD38" s="254" t="s">
        <v>34</v>
      </c>
      <c r="AE38" s="249">
        <f>IF(F17="","",1)</f>
        <v>1</v>
      </c>
      <c r="AF38" s="255">
        <f>IF(F17="","",F17)</f>
        <v>16</v>
      </c>
      <c r="AG38" s="255"/>
      <c r="AH38" s="255"/>
      <c r="AI38" s="249"/>
      <c r="AJ38" s="249"/>
      <c r="AK38" s="249"/>
      <c r="AL38" s="249"/>
    </row>
    <row r="39" spans="1:38" ht="13.5" customHeight="1">
      <c r="B39" s="316" t="s">
        <v>73</v>
      </c>
      <c r="C39" s="316"/>
      <c r="D39" s="316"/>
      <c r="E39" s="316"/>
      <c r="F39" s="316"/>
      <c r="G39" s="316"/>
      <c r="H39" s="316"/>
      <c r="I39" s="316"/>
      <c r="J39" s="316"/>
      <c r="K39" s="316"/>
      <c r="L39" s="316"/>
      <c r="M39" s="316"/>
      <c r="N39" s="316"/>
      <c r="O39" s="316"/>
      <c r="P39" s="316"/>
      <c r="Q39" s="316"/>
      <c r="R39" s="129"/>
      <c r="S39" s="250"/>
      <c r="T39" s="249"/>
      <c r="U39" s="252" t="s">
        <v>74</v>
      </c>
      <c r="V39" s="249">
        <f>IF(F20="","",1)</f>
        <v>1</v>
      </c>
      <c r="W39" s="249">
        <f>IF(F20="","",F20)</f>
        <v>12</v>
      </c>
      <c r="X39" s="252" t="s">
        <v>75</v>
      </c>
      <c r="Y39" s="249">
        <f>IF(F19="","",1)</f>
        <v>1</v>
      </c>
      <c r="Z39" s="249">
        <f>IF(F19="","",F19)</f>
        <v>9</v>
      </c>
      <c r="AA39" s="252" t="s">
        <v>59</v>
      </c>
      <c r="AB39" s="249">
        <f>IF(F25="","",1)</f>
        <v>1</v>
      </c>
      <c r="AC39" s="249">
        <f>IF(F25="","",F25)</f>
        <v>7</v>
      </c>
      <c r="AD39" s="256" t="s">
        <v>49</v>
      </c>
      <c r="AE39" s="249">
        <f>IF(F22="","",1)</f>
        <v>1</v>
      </c>
      <c r="AF39" s="255">
        <f>IF(F22="","",F22)</f>
        <v>11</v>
      </c>
      <c r="AG39" s="255"/>
      <c r="AH39" s="255"/>
      <c r="AI39" s="249"/>
      <c r="AJ39" s="249"/>
      <c r="AK39" s="249"/>
      <c r="AL39" s="249"/>
    </row>
    <row r="40" spans="1:38" ht="13.5" customHeight="1">
      <c r="R40" s="129"/>
      <c r="S40" s="250"/>
      <c r="T40" s="249"/>
      <c r="U40" s="252"/>
      <c r="V40" s="249"/>
      <c r="W40" s="249"/>
      <c r="X40" s="252" t="s">
        <v>52</v>
      </c>
      <c r="Y40" s="249">
        <f>IF(F23="","",1)</f>
        <v>1</v>
      </c>
      <c r="Z40" s="249">
        <f>IF(F23="","",F23)</f>
        <v>16</v>
      </c>
      <c r="AA40" s="252"/>
      <c r="AB40" s="249"/>
      <c r="AC40" s="249"/>
      <c r="AD40" s="256"/>
      <c r="AE40" s="249"/>
      <c r="AF40" s="255"/>
      <c r="AG40" s="255"/>
      <c r="AH40" s="255"/>
      <c r="AI40" s="249"/>
      <c r="AJ40" s="249"/>
      <c r="AK40" s="249"/>
      <c r="AL40" s="249"/>
    </row>
    <row r="41" spans="1:38" ht="13.5" customHeight="1">
      <c r="R41" s="129"/>
      <c r="S41" s="250"/>
      <c r="T41" s="249"/>
      <c r="U41" s="252"/>
      <c r="V41" s="249"/>
      <c r="W41" s="249"/>
      <c r="X41" s="252"/>
      <c r="Y41" s="249"/>
      <c r="Z41" s="249"/>
      <c r="AA41" s="252"/>
      <c r="AB41" s="249">
        <f>SUM(AB37:AB38)</f>
        <v>2</v>
      </c>
      <c r="AC41" s="249"/>
      <c r="AD41" s="256"/>
      <c r="AE41" s="249">
        <f>SUM(AE37:AE38)</f>
        <v>2</v>
      </c>
      <c r="AF41" s="255"/>
      <c r="AG41" s="255"/>
      <c r="AH41" s="255"/>
      <c r="AI41" s="249"/>
      <c r="AJ41" s="249"/>
      <c r="AK41" s="249"/>
      <c r="AL41" s="249"/>
    </row>
    <row r="42" spans="1:38" ht="13.5" customHeight="1">
      <c r="R42" s="129"/>
      <c r="S42" s="250"/>
      <c r="T42" s="249"/>
      <c r="U42" s="252"/>
      <c r="V42" s="249"/>
      <c r="W42" s="249"/>
      <c r="X42" s="252"/>
      <c r="Y42" s="249"/>
      <c r="Z42" s="249"/>
      <c r="AA42" s="252"/>
      <c r="AB42" s="249"/>
      <c r="AC42" s="249"/>
      <c r="AD42" s="256"/>
      <c r="AE42" s="249"/>
      <c r="AF42" s="255"/>
      <c r="AG42" s="255"/>
      <c r="AH42" s="255"/>
      <c r="AI42" s="249"/>
      <c r="AJ42" s="249"/>
      <c r="AK42" s="249"/>
      <c r="AL42" s="249"/>
    </row>
    <row r="43" spans="1:38" ht="12">
      <c r="C43" s="9" t="s">
        <v>9</v>
      </c>
      <c r="D43" s="35"/>
      <c r="E43" s="9"/>
      <c r="F43" s="9"/>
      <c r="G43" s="9"/>
      <c r="H43" s="17" t="s">
        <v>76</v>
      </c>
      <c r="I43" s="173"/>
      <c r="J43" s="17" t="s">
        <v>77</v>
      </c>
      <c r="K43" s="9"/>
      <c r="L43" s="17" t="s">
        <v>78</v>
      </c>
      <c r="M43" s="9"/>
      <c r="N43" s="337" t="s">
        <v>79</v>
      </c>
      <c r="O43" s="337"/>
      <c r="P43" s="337"/>
      <c r="Q43" s="337"/>
      <c r="R43" s="129"/>
      <c r="S43" s="250"/>
      <c r="T43" s="249"/>
      <c r="U43" s="252" t="s">
        <v>80</v>
      </c>
      <c r="V43" s="249">
        <f>IF(F24="","",1)</f>
        <v>1</v>
      </c>
      <c r="W43" s="249">
        <f>IF(F24="","",F24)</f>
        <v>12</v>
      </c>
      <c r="X43" s="252" t="s">
        <v>60</v>
      </c>
      <c r="Y43" s="249">
        <f>IF(F26="","",1)</f>
        <v>1</v>
      </c>
      <c r="Z43" s="249">
        <f>IF(F26="","",F26)</f>
        <v>10</v>
      </c>
      <c r="AA43" s="249"/>
      <c r="AB43" s="249">
        <f>SUM(AB37:AB39)</f>
        <v>3</v>
      </c>
      <c r="AC43" s="252">
        <f>SUM(AC37:AC39)</f>
        <v>22</v>
      </c>
      <c r="AD43" s="249"/>
      <c r="AE43" s="249">
        <f>SUM(AE37:AE39)</f>
        <v>3</v>
      </c>
      <c r="AF43" s="255">
        <f>SUM(AF37:AF39)</f>
        <v>39</v>
      </c>
      <c r="AG43" s="255"/>
      <c r="AH43" s="255"/>
      <c r="AI43" s="249"/>
      <c r="AJ43" s="249"/>
      <c r="AK43" s="249"/>
      <c r="AL43" s="249"/>
    </row>
    <row r="44" spans="1:38" ht="12">
      <c r="C44" s="9"/>
      <c r="E44" s="9"/>
      <c r="F44" s="17" t="s">
        <v>81</v>
      </c>
      <c r="G44" s="9"/>
      <c r="H44" s="17" t="s">
        <v>82</v>
      </c>
      <c r="I44" s="9"/>
      <c r="J44" s="9" t="s">
        <v>83</v>
      </c>
      <c r="K44" s="9"/>
      <c r="L44" s="9" t="s">
        <v>84</v>
      </c>
      <c r="M44" s="9"/>
      <c r="N44" s="337"/>
      <c r="O44" s="337"/>
      <c r="P44" s="337"/>
      <c r="Q44" s="337"/>
      <c r="R44" s="129"/>
      <c r="S44" s="250"/>
      <c r="T44" s="249"/>
      <c r="U44" s="252"/>
      <c r="V44" s="249"/>
      <c r="W44" s="249"/>
      <c r="X44" s="252"/>
      <c r="Y44" s="249"/>
      <c r="Z44" s="249"/>
      <c r="AA44" s="249"/>
      <c r="AB44" s="249"/>
      <c r="AC44" s="249"/>
      <c r="AD44" s="255"/>
      <c r="AE44" s="255"/>
      <c r="AF44" s="255"/>
      <c r="AG44" s="255"/>
      <c r="AH44" s="255"/>
      <c r="AI44" s="249"/>
      <c r="AJ44" s="249"/>
      <c r="AK44" s="249"/>
      <c r="AL44" s="249"/>
    </row>
    <row r="45" spans="1:38" ht="9" customHeight="1">
      <c r="C45" s="9"/>
      <c r="E45" s="9"/>
      <c r="F45" s="9"/>
      <c r="G45" s="9"/>
      <c r="H45" s="9"/>
      <c r="I45" s="9"/>
      <c r="J45" s="9"/>
      <c r="K45" s="9"/>
      <c r="L45" s="9"/>
      <c r="M45" s="9"/>
      <c r="N45" s="9"/>
      <c r="O45" s="9"/>
      <c r="P45" s="9"/>
      <c r="Q45" s="17"/>
      <c r="R45" s="129"/>
      <c r="S45" s="250"/>
      <c r="T45" s="251">
        <v>1</v>
      </c>
      <c r="U45" s="252"/>
      <c r="V45" s="249"/>
      <c r="W45" s="249">
        <f>SUM(W37:W44)</f>
        <v>51</v>
      </c>
      <c r="X45" s="252"/>
      <c r="Y45" s="249"/>
      <c r="Z45" s="249">
        <f>SUM(Z37:Z44)</f>
        <v>61</v>
      </c>
      <c r="AA45" s="249"/>
      <c r="AB45" s="249"/>
      <c r="AC45" s="249"/>
      <c r="AD45" s="249"/>
      <c r="AE45" s="249"/>
      <c r="AF45" s="249"/>
      <c r="AG45" s="249"/>
      <c r="AH45" s="249"/>
      <c r="AI45" s="249"/>
      <c r="AJ45" s="249"/>
      <c r="AK45" s="249"/>
      <c r="AL45" s="249"/>
    </row>
    <row r="46" spans="1:38" ht="14.25" customHeight="1">
      <c r="D46" s="19" t="s">
        <v>85</v>
      </c>
      <c r="E46" s="35"/>
      <c r="F46" s="20" t="str">
        <f>IF(W21=3,"("&amp;W13&amp;")","")</f>
        <v>(39)</v>
      </c>
      <c r="G46" s="36"/>
      <c r="H46" s="224">
        <v>116</v>
      </c>
      <c r="I46" s="36"/>
      <c r="J46" s="20">
        <f>IF(H46="","",LOOKUP(H46,B338:BG339))</f>
        <v>86</v>
      </c>
      <c r="K46" s="36"/>
      <c r="L46" s="20" t="str">
        <f>IF(H46="","",X46&amp;" - "&amp;Y46)</f>
        <v>111 - 120</v>
      </c>
      <c r="M46" s="9"/>
      <c r="N46" s="173" t="str">
        <f>IF(H46="","",LOOKUP((LOOKUP(H46,D414:O415)+H46),$D$412:$J$413)&amp;" to "&amp;LOOKUP((LOOKUP(H46,D414:O414,D416:O416)+H46),$D$412:$J$413))</f>
        <v>Average to Superior</v>
      </c>
      <c r="O46" s="173"/>
      <c r="R46" s="128"/>
      <c r="S46" s="250"/>
      <c r="T46" s="249">
        <v>0.96</v>
      </c>
      <c r="U46" s="249">
        <f>100+T46*(H46-100)</f>
        <v>115.36</v>
      </c>
      <c r="V46" s="249">
        <f>15*T46*SQRT((1-T46))</f>
        <v>2.8800000000000012</v>
      </c>
      <c r="W46" s="249">
        <f>IF(T45=1,V46*1.65,V46*1.96)</f>
        <v>4.7520000000000016</v>
      </c>
      <c r="X46" s="249">
        <f>ROUND(U46-W46,0)</f>
        <v>111</v>
      </c>
      <c r="Y46" s="249">
        <f>ROUND(U46+W46,0)</f>
        <v>120</v>
      </c>
      <c r="Z46" s="252"/>
      <c r="AA46" s="249"/>
      <c r="AB46" s="249"/>
      <c r="AC46" s="252"/>
      <c r="AD46" s="249">
        <f>SUM(Y37:Y44)</f>
        <v>5</v>
      </c>
      <c r="AE46" s="249"/>
      <c r="AF46" s="249"/>
      <c r="AG46" s="249"/>
      <c r="AH46" s="249"/>
      <c r="AI46" s="249"/>
      <c r="AJ46" s="249"/>
      <c r="AK46" s="249"/>
      <c r="AL46" s="249"/>
    </row>
    <row r="47" spans="1:38" ht="14.25" customHeight="1">
      <c r="D47" s="19" t="s">
        <v>86</v>
      </c>
      <c r="E47" s="35"/>
      <c r="F47" s="20" t="str">
        <f>IF(W20=3,"("&amp;Y13&amp;")","")</f>
        <v>(35)</v>
      </c>
      <c r="G47" s="36"/>
      <c r="H47" s="224">
        <v>109</v>
      </c>
      <c r="I47" s="36"/>
      <c r="J47" s="20">
        <f>IF(H47="","",LOOKUP(H47,B338:BG339))</f>
        <v>73</v>
      </c>
      <c r="K47" s="36"/>
      <c r="L47" s="20" t="str">
        <f>IF(H47="","",X47&amp;" - "&amp;Y47)</f>
        <v>103 - 114</v>
      </c>
      <c r="M47" s="9"/>
      <c r="N47" s="173" t="str">
        <f>IF(H47="","",LOOKUP((LOOKUP(H47,D414:O415)+H47),$D$412:$J$413)&amp;" to "&amp;LOOKUP((LOOKUP(H47,D414:O414,D416:O416)+H47),$D$412:$J$413))</f>
        <v>Average to High Average</v>
      </c>
      <c r="O47" s="173"/>
      <c r="R47" s="128"/>
      <c r="S47" s="250"/>
      <c r="T47" s="249">
        <v>0.95</v>
      </c>
      <c r="U47" s="249">
        <f>100+T47*(H47-100)</f>
        <v>108.55</v>
      </c>
      <c r="V47" s="249">
        <f>15*T47*SQRT((1-T47))</f>
        <v>3.1863968679372019</v>
      </c>
      <c r="W47" s="249">
        <f>IF(T45=1,V47*1.65,V47*1.96)</f>
        <v>5.2575548320963827</v>
      </c>
      <c r="X47" s="249">
        <f>ROUND(U47-W47,0)</f>
        <v>103</v>
      </c>
      <c r="Y47" s="249">
        <f>ROUND(U47+W47,0)</f>
        <v>114</v>
      </c>
      <c r="Z47" s="249"/>
      <c r="AA47" s="249">
        <f>SUM(V37:V44)</f>
        <v>4</v>
      </c>
      <c r="AB47" s="249">
        <f>SUM(V37:V45)</f>
        <v>4</v>
      </c>
      <c r="AC47" s="249"/>
      <c r="AD47" s="249">
        <f>SUM(Y37:Y44)</f>
        <v>5</v>
      </c>
      <c r="AE47" s="249"/>
      <c r="AF47" s="249"/>
      <c r="AG47" s="249"/>
      <c r="AH47" s="249"/>
      <c r="AI47" s="249">
        <f>AB47+AD47+AB43+AE43</f>
        <v>15</v>
      </c>
      <c r="AJ47" s="249"/>
      <c r="AK47" s="249"/>
      <c r="AL47" s="249"/>
    </row>
    <row r="48" spans="1:38" ht="14.25" customHeight="1">
      <c r="D48" s="19" t="s">
        <v>87</v>
      </c>
      <c r="E48" s="35"/>
      <c r="F48" s="20" t="str">
        <f>IF(AB43&lt;2,"","("&amp;AA13&amp;")")</f>
        <v>(28)</v>
      </c>
      <c r="G48" s="20"/>
      <c r="H48" s="224">
        <v>122</v>
      </c>
      <c r="I48" s="20"/>
      <c r="J48" s="20">
        <f>IF(H48="","",LOOKUP(H48,B338:BG339))</f>
        <v>93</v>
      </c>
      <c r="K48" s="19"/>
      <c r="L48" s="20" t="str">
        <f>IF(H48="","",X48&amp;" - "&amp;Y48)</f>
        <v>115 - 126</v>
      </c>
      <c r="M48" s="36"/>
      <c r="N48" s="173" t="str">
        <f>IF(H48="","",LOOKUP((LOOKUP(H48,D414:O415)+H48),$D$412:$J$413)&amp;" to "&amp;LOOKUP((LOOKUP(H48,D414:O414,D416:O416)+H48),$D$412:$J$413))</f>
        <v>High Average to Superior</v>
      </c>
      <c r="O48" s="19"/>
      <c r="R48" s="128"/>
      <c r="S48" s="250"/>
      <c r="T48" s="249">
        <v>0.94</v>
      </c>
      <c r="U48" s="249">
        <f>100+T48*(H48-100)</f>
        <v>120.68</v>
      </c>
      <c r="V48" s="249">
        <f>15*T48*SQRT((1-T48))</f>
        <v>3.4537805373242825</v>
      </c>
      <c r="W48" s="249">
        <f>IF(T45=1,V48*1.65,V48*1.96)</f>
        <v>5.6987378865850662</v>
      </c>
      <c r="X48" s="249">
        <f>ROUND(U48-W48,0)</f>
        <v>115</v>
      </c>
      <c r="Y48" s="249">
        <f>ROUND(U48+W48,0)</f>
        <v>126</v>
      </c>
      <c r="Z48" s="254" t="s">
        <v>88</v>
      </c>
      <c r="AA48" s="254">
        <f>W45/AA47</f>
        <v>12.75</v>
      </c>
      <c r="AB48" s="249">
        <f>W45/AB47</f>
        <v>12.75</v>
      </c>
      <c r="AC48" s="249">
        <f>SUM(W37:W44)</f>
        <v>51</v>
      </c>
      <c r="AD48" s="254" t="s">
        <v>89</v>
      </c>
      <c r="AE48" s="254">
        <f>Z45/AD47</f>
        <v>12.2</v>
      </c>
      <c r="AF48" s="249"/>
      <c r="AG48" s="249">
        <f>SUM(W45+Z45+AC43+AF43)</f>
        <v>173</v>
      </c>
      <c r="AH48" s="254" t="s">
        <v>90</v>
      </c>
      <c r="AI48" s="257">
        <f>AG48/AI47</f>
        <v>11.533333333333333</v>
      </c>
      <c r="AJ48" s="249"/>
      <c r="AK48" s="249" t="s">
        <v>91</v>
      </c>
      <c r="AL48" s="249">
        <f>ABS(H46-H47)</f>
        <v>7</v>
      </c>
    </row>
    <row r="49" spans="2:38" ht="14.25" customHeight="1">
      <c r="D49" s="19" t="s">
        <v>92</v>
      </c>
      <c r="E49" s="35"/>
      <c r="F49" s="20" t="str">
        <f>IF(AE43&lt;2,"","("&amp;AC13&amp;")")</f>
        <v>(15)</v>
      </c>
      <c r="G49" s="20"/>
      <c r="H49" s="224">
        <v>86</v>
      </c>
      <c r="I49" s="20"/>
      <c r="J49" s="20">
        <f>IF(H49="","",LOOKUP(H49,B338:BG339))</f>
        <v>18</v>
      </c>
      <c r="K49" s="19"/>
      <c r="L49" s="20" t="str">
        <f>IF(H49="","",X49&amp;" - "&amp;Y49)</f>
        <v>80 - 94</v>
      </c>
      <c r="M49" s="36"/>
      <c r="N49" s="173" t="str">
        <f>IF(H49="","",LOOKUP((LOOKUP(H49,D414:O415)+H49),$D$412:$J$413)&amp;" to "&amp;LOOKUP((LOOKUP(H49,D414:O414,D416:O416)+H49),$D$412:$J$413))</f>
        <v>Low Average to Average</v>
      </c>
      <c r="O49" s="19"/>
      <c r="R49" s="128"/>
      <c r="S49" s="250"/>
      <c r="T49" s="249">
        <v>0.9</v>
      </c>
      <c r="U49" s="249">
        <f>100+T49*(H49-100)</f>
        <v>87.4</v>
      </c>
      <c r="V49" s="249">
        <f>15*T49*SQRT((1-T49))</f>
        <v>4.2690748412273116</v>
      </c>
      <c r="W49" s="249">
        <f>IF(T45=1,V49*1.65,V49*1.96)</f>
        <v>7.0439734880250642</v>
      </c>
      <c r="X49" s="249">
        <f>ROUND(U49-W49,0)</f>
        <v>80</v>
      </c>
      <c r="Y49" s="249">
        <f>ROUND(U49+W49,0)</f>
        <v>94</v>
      </c>
      <c r="Z49" s="254" t="s">
        <v>93</v>
      </c>
      <c r="AA49" s="249">
        <f>MAX(W37:W44)</f>
        <v>16</v>
      </c>
      <c r="AB49" s="249"/>
      <c r="AC49" s="254" t="s">
        <v>94</v>
      </c>
      <c r="AD49" s="249">
        <f>MAX(Z37:Z44)</f>
        <v>16</v>
      </c>
      <c r="AE49" s="249">
        <f>IF(AA49=AD49,AA49,IF(AA49&gt;AD49,AA49,AD49))</f>
        <v>16</v>
      </c>
      <c r="AF49" s="249"/>
      <c r="AG49" s="249"/>
      <c r="AH49" s="249"/>
      <c r="AI49" s="249"/>
      <c r="AJ49" s="249"/>
      <c r="AK49" s="249"/>
      <c r="AL49" s="249">
        <f>LOOKUP(AL48,D357:AR357,D366:AR366)</f>
        <v>54</v>
      </c>
    </row>
    <row r="50" spans="2:38" ht="14.25" customHeight="1">
      <c r="D50" s="19" t="s">
        <v>95</v>
      </c>
      <c r="E50" s="35"/>
      <c r="F50" s="20" t="str">
        <f>IF(W23=10,"("&amp;Z13&amp;")","")</f>
        <v>(117)</v>
      </c>
      <c r="G50" s="36"/>
      <c r="H50" s="224">
        <v>111</v>
      </c>
      <c r="I50" s="36"/>
      <c r="J50" s="20">
        <f>IF(H50="","",LOOKUP(H50,B338:BG339))</f>
        <v>77</v>
      </c>
      <c r="K50" s="36"/>
      <c r="L50" s="20" t="str">
        <f>IF(H50="","",X50&amp;" - "&amp;Y50)</f>
        <v>107 - 114</v>
      </c>
      <c r="M50" s="9"/>
      <c r="N50" s="173" t="str">
        <f>IF(H50="","",LOOKUP((LOOKUP(H50,D414:O415)+H50),$D$412:$J$413)&amp;" to "&amp;LOOKUP((LOOKUP(H50,D414:O414,D416:O416)+H50),$D$412:$J$413))</f>
        <v>Average to High Average</v>
      </c>
      <c r="O50" s="173"/>
      <c r="R50" s="128"/>
      <c r="S50" s="250"/>
      <c r="T50" s="249">
        <v>0.98</v>
      </c>
      <c r="U50" s="249">
        <f>100+T50*(H50-100)</f>
        <v>110.78</v>
      </c>
      <c r="V50" s="249">
        <f>15*T50*SQRT((1-T50))</f>
        <v>2.0788939366884502</v>
      </c>
      <c r="W50" s="249">
        <f>IF(T45=1,V50*1.65,V50*1.96)</f>
        <v>3.4301749955359426</v>
      </c>
      <c r="X50" s="249">
        <f>ROUND(U50-W50,0)</f>
        <v>107</v>
      </c>
      <c r="Y50" s="249">
        <f>ROUND(U50+W50,0)</f>
        <v>114</v>
      </c>
      <c r="Z50" s="254" t="s">
        <v>96</v>
      </c>
      <c r="AA50" s="249">
        <f>MIN(W37:W44)</f>
        <v>11</v>
      </c>
      <c r="AB50" s="249"/>
      <c r="AC50" s="249" t="s">
        <v>97</v>
      </c>
      <c r="AD50" s="249">
        <f>MIN(Z37:Z44)</f>
        <v>9</v>
      </c>
      <c r="AE50" s="249">
        <f>IF(AA50=AD50,AA50,IF(AA50&lt;AD50,AA50,AD50))</f>
        <v>9</v>
      </c>
      <c r="AF50" s="249">
        <f>AE49-AE50</f>
        <v>7</v>
      </c>
      <c r="AG50" s="249"/>
      <c r="AH50" s="249"/>
      <c r="AI50" s="249"/>
      <c r="AJ50" s="249"/>
      <c r="AK50" s="249"/>
      <c r="AL50" s="249"/>
    </row>
    <row r="51" spans="2:38" ht="9" customHeight="1">
      <c r="C51" s="9"/>
      <c r="P51" s="173"/>
      <c r="Q51" s="9"/>
      <c r="R51" s="128"/>
      <c r="S51" s="250"/>
      <c r="T51" s="249"/>
      <c r="U51" s="249"/>
      <c r="V51" s="249"/>
      <c r="W51" s="249"/>
      <c r="X51" s="249"/>
      <c r="Y51" s="249"/>
      <c r="Z51" s="254" t="s">
        <v>98</v>
      </c>
      <c r="AA51" s="249">
        <f>ABS(AA49-AA50)</f>
        <v>5</v>
      </c>
      <c r="AB51" s="249"/>
      <c r="AC51" s="249" t="s">
        <v>98</v>
      </c>
      <c r="AD51" s="249">
        <f>ABS(AD49-AD50)</f>
        <v>7</v>
      </c>
      <c r="AE51" s="249"/>
      <c r="AF51" s="249" t="s">
        <v>99</v>
      </c>
      <c r="AG51" s="249">
        <f>AF50</f>
        <v>7</v>
      </c>
      <c r="AH51" s="249"/>
      <c r="AI51" s="249"/>
      <c r="AJ51" s="249"/>
      <c r="AK51" s="249"/>
      <c r="AL51" s="249"/>
    </row>
    <row r="52" spans="2:38" ht="9" customHeight="1">
      <c r="C52" s="9"/>
      <c r="O52" s="17"/>
      <c r="P52" s="17"/>
      <c r="Q52" s="17"/>
      <c r="R52" s="129"/>
      <c r="S52" s="250"/>
      <c r="T52" s="249"/>
      <c r="U52" s="249"/>
      <c r="V52" s="249"/>
      <c r="W52" s="249"/>
      <c r="X52" s="249"/>
      <c r="Y52" s="249"/>
      <c r="Z52" s="254" t="s">
        <v>100</v>
      </c>
      <c r="AA52" s="249" t="str">
        <f>IF(AA47&lt;6,"",IF(AA47=6, LOOKUP(AA51,D357:V357,D358:V358),LOOKUP(AA51,D357:V357,D359:V359)))</f>
        <v/>
      </c>
      <c r="AB52" s="249"/>
      <c r="AC52" s="249" t="s">
        <v>101</v>
      </c>
      <c r="AD52" s="249">
        <f>IF(AD47&lt;4,"",LOOKUP(AD51,D357:V357,D360:V360))</f>
        <v>23</v>
      </c>
      <c r="AE52" s="249"/>
      <c r="AF52" s="249" t="s">
        <v>102</v>
      </c>
      <c r="AG52" s="249">
        <f ca="1">LOOKUP(AG51,D357:V357,D362:W362)</f>
        <v>50.9</v>
      </c>
      <c r="AH52" s="249"/>
      <c r="AI52" s="249">
        <f ca="1">IF(AI47=14,AE54,IF(AI47=11,AG52,AG53))</f>
        <v>58</v>
      </c>
      <c r="AJ52" s="249"/>
      <c r="AK52" s="249"/>
      <c r="AL52" s="249"/>
    </row>
    <row r="53" spans="2:38" ht="14.1" customHeight="1">
      <c r="B53" s="316" t="s">
        <v>103</v>
      </c>
      <c r="C53" s="316"/>
      <c r="D53" s="316"/>
      <c r="E53" s="316"/>
      <c r="F53" s="316"/>
      <c r="G53" s="316"/>
      <c r="H53" s="316"/>
      <c r="I53" s="316"/>
      <c r="J53" s="316"/>
      <c r="K53" s="316"/>
      <c r="L53" s="316"/>
      <c r="M53" s="316"/>
      <c r="N53" s="316"/>
      <c r="O53" s="316"/>
      <c r="P53" s="316"/>
      <c r="Q53" s="316"/>
      <c r="R53" s="129"/>
      <c r="S53" s="250"/>
      <c r="T53" s="249"/>
      <c r="U53" s="249"/>
      <c r="V53" s="249"/>
      <c r="W53" s="249"/>
      <c r="X53" s="249"/>
      <c r="Y53" s="249"/>
      <c r="Z53" s="252"/>
      <c r="AA53" s="249"/>
      <c r="AB53" s="249"/>
      <c r="AC53" s="249"/>
      <c r="AD53" s="249"/>
      <c r="AE53" s="249"/>
      <c r="AF53" s="249" t="s">
        <v>104</v>
      </c>
      <c r="AG53" s="249">
        <f ca="1">LOOKUP(AG51,D357:V357,D363:W363)</f>
        <v>58</v>
      </c>
      <c r="AH53" s="249"/>
      <c r="AI53" s="249"/>
      <c r="AJ53" s="249"/>
      <c r="AK53" s="249"/>
      <c r="AL53" s="249"/>
    </row>
    <row r="54" spans="2:38" ht="9" customHeight="1">
      <c r="C54" s="9"/>
      <c r="D54" s="37"/>
      <c r="E54" s="17"/>
      <c r="F54" s="17"/>
      <c r="G54" s="17"/>
      <c r="H54" s="17"/>
      <c r="I54" s="17"/>
      <c r="J54" s="17"/>
      <c r="K54" s="17"/>
      <c r="L54" s="17"/>
      <c r="M54" s="17"/>
      <c r="N54" s="17"/>
      <c r="O54" s="17"/>
      <c r="P54" s="17"/>
      <c r="Q54" s="17"/>
      <c r="R54" s="129"/>
      <c r="S54" s="250"/>
      <c r="T54" s="249"/>
      <c r="U54" s="249"/>
      <c r="V54" s="249"/>
      <c r="W54" s="249"/>
      <c r="X54" s="249"/>
      <c r="Y54" s="249"/>
      <c r="Z54" s="249"/>
      <c r="AA54" s="249"/>
      <c r="AB54" s="249"/>
      <c r="AC54" s="249"/>
      <c r="AD54" s="249" t="s">
        <v>105</v>
      </c>
      <c r="AE54" s="249">
        <f ca="1">LOOKUP(AG51,D357:V357,D364:W364)</f>
        <v>63.8</v>
      </c>
      <c r="AF54" s="249"/>
      <c r="AG54" s="249"/>
      <c r="AH54" s="249"/>
      <c r="AI54" s="249"/>
      <c r="AJ54" s="249"/>
      <c r="AK54" s="249"/>
      <c r="AL54" s="249"/>
    </row>
    <row r="55" spans="2:38" ht="14.1" customHeight="1">
      <c r="C55" s="35"/>
      <c r="D55" s="35"/>
      <c r="E55" s="35"/>
      <c r="F55" s="322" t="s">
        <v>106</v>
      </c>
      <c r="G55" s="323"/>
      <c r="H55" s="323"/>
      <c r="I55" s="323"/>
      <c r="J55" s="323"/>
      <c r="K55" s="326"/>
      <c r="L55" s="336" t="s">
        <v>107</v>
      </c>
      <c r="M55" s="325"/>
      <c r="N55" s="325"/>
      <c r="O55" s="325"/>
      <c r="P55" s="325"/>
      <c r="S55" s="249"/>
      <c r="T55" s="249"/>
      <c r="U55" s="249"/>
      <c r="V55" s="249"/>
      <c r="W55" s="249"/>
      <c r="X55" s="249"/>
      <c r="Y55" s="249">
        <f>IF(H46=H47,0,IF(H46&gt;H47,1,2))</f>
        <v>1</v>
      </c>
      <c r="Z55" s="249"/>
      <c r="AA55" s="249"/>
      <c r="AB55" s="249"/>
      <c r="AC55" s="249"/>
      <c r="AD55" s="249"/>
      <c r="AE55" s="249"/>
      <c r="AF55" s="249"/>
      <c r="AG55" s="249"/>
      <c r="AH55" s="249"/>
      <c r="AI55" s="249"/>
      <c r="AJ55" s="249"/>
      <c r="AK55" s="249"/>
      <c r="AL55" s="249"/>
    </row>
    <row r="56" spans="2:38" ht="14.1" customHeight="1">
      <c r="C56" s="171"/>
      <c r="D56" s="171" t="str">
        <f>"VCI ("&amp;H46&amp;") vs PRI ("&amp;H47&amp;") Difference"</f>
        <v>VCI (116) vs PRI (109) Difference</v>
      </c>
      <c r="E56" s="171"/>
      <c r="F56" s="335" t="s">
        <v>108</v>
      </c>
      <c r="G56" s="324"/>
      <c r="H56" s="324" t="s">
        <v>109</v>
      </c>
      <c r="I56" s="324"/>
      <c r="J56" s="324" t="s">
        <v>110</v>
      </c>
      <c r="K56" s="338"/>
      <c r="L56" s="336"/>
      <c r="M56" s="325"/>
      <c r="N56" s="325"/>
      <c r="O56" s="325"/>
      <c r="P56" s="325"/>
      <c r="S56" s="249"/>
      <c r="T56" s="249">
        <f>ABS(H46-H47)</f>
        <v>7</v>
      </c>
      <c r="U56" s="249" t="str">
        <f>IF(T56=1," point"," points")</f>
        <v xml:space="preserve"> points</v>
      </c>
      <c r="V56" s="249"/>
      <c r="W56" s="249"/>
      <c r="X56" s="249"/>
      <c r="Y56" s="249">
        <f>IF(ABS(H46-H47)&gt;8,1,-1)</f>
        <v>-1</v>
      </c>
      <c r="Z56" s="249"/>
      <c r="AA56" s="249"/>
      <c r="AB56" s="249"/>
      <c r="AC56" s="249"/>
      <c r="AD56" s="249"/>
      <c r="AE56" s="249"/>
      <c r="AF56" s="249"/>
      <c r="AG56" s="249"/>
      <c r="AH56" s="249"/>
      <c r="AI56" s="249"/>
      <c r="AJ56" s="249"/>
      <c r="AK56" s="249"/>
      <c r="AL56" s="249"/>
    </row>
    <row r="57" spans="2:38" ht="14.1" customHeight="1">
      <c r="C57" s="171"/>
      <c r="D57" s="171" t="str">
        <f>IF(OR(H46="",H47=""),"",T56&amp;U56)</f>
        <v>7 points</v>
      </c>
      <c r="F57" s="352" t="s">
        <v>111</v>
      </c>
      <c r="G57" s="327"/>
      <c r="H57" s="330">
        <v>9</v>
      </c>
      <c r="I57" s="330"/>
      <c r="J57" s="330" t="s">
        <v>112</v>
      </c>
      <c r="K57" s="353"/>
      <c r="L57" s="354" t="str">
        <f>IF(OR(H46="",H47=""),"",IF(T56&gt;11, "YES, p = .01", IF(T56&lt;9, "NO","YES, p = .05")))</f>
        <v>NO</v>
      </c>
      <c r="M57" s="305"/>
      <c r="N57" s="305"/>
      <c r="O57" s="305"/>
      <c r="P57" s="305"/>
      <c r="S57" s="249"/>
      <c r="T57" s="249">
        <f>IF(L57="NO",0,1)</f>
        <v>0</v>
      </c>
      <c r="U57" s="249"/>
      <c r="V57" s="249" t="s">
        <v>113</v>
      </c>
      <c r="W57" s="249"/>
      <c r="X57" s="249"/>
      <c r="Y57" s="249">
        <f>SUM(Y55+Y56)</f>
        <v>0</v>
      </c>
      <c r="Z57" s="249"/>
      <c r="AA57" s="249"/>
      <c r="AB57" s="249"/>
      <c r="AC57" s="249"/>
      <c r="AD57" s="249"/>
      <c r="AE57" s="249"/>
      <c r="AF57" s="249"/>
      <c r="AG57" s="249"/>
      <c r="AH57" s="249"/>
      <c r="AI57" s="249"/>
      <c r="AJ57" s="249"/>
      <c r="AK57" s="249"/>
      <c r="AL57" s="249"/>
    </row>
    <row r="58" spans="2:38" ht="14.1" customHeight="1" thickBot="1">
      <c r="D58" s="37"/>
      <c r="S58" s="250"/>
      <c r="T58" s="249"/>
      <c r="U58" s="249"/>
      <c r="V58" s="249" t="s">
        <v>114</v>
      </c>
      <c r="W58" s="249"/>
      <c r="X58" s="249"/>
      <c r="Y58" s="249"/>
      <c r="Z58" s="249"/>
      <c r="AA58" s="249"/>
      <c r="AB58" s="249"/>
      <c r="AC58" s="249"/>
      <c r="AD58" s="249"/>
      <c r="AE58" s="249"/>
      <c r="AF58" s="249"/>
      <c r="AG58" s="249"/>
      <c r="AH58" s="249"/>
      <c r="AI58" s="249"/>
      <c r="AJ58" s="249"/>
      <c r="AK58" s="249"/>
      <c r="AL58" s="249"/>
    </row>
    <row r="59" spans="2:38" ht="4.5" customHeight="1">
      <c r="D59" s="38"/>
      <c r="E59" s="39"/>
      <c r="F59" s="39"/>
      <c r="G59" s="39"/>
      <c r="H59" s="39"/>
      <c r="I59" s="39"/>
      <c r="J59" s="39"/>
      <c r="K59" s="39"/>
      <c r="L59" s="39"/>
      <c r="M59" s="39"/>
      <c r="N59" s="39"/>
      <c r="O59" s="39"/>
      <c r="P59" s="40"/>
      <c r="S59" s="250"/>
      <c r="T59" s="249"/>
      <c r="U59" s="249"/>
      <c r="V59" s="249"/>
      <c r="W59" s="249"/>
      <c r="X59" s="249"/>
      <c r="Y59" s="249"/>
      <c r="Z59" s="249"/>
      <c r="AA59" s="249"/>
      <c r="AB59" s="249"/>
      <c r="AC59" s="249"/>
      <c r="AD59" s="249"/>
      <c r="AE59" s="249"/>
      <c r="AF59" s="249"/>
      <c r="AG59" s="249"/>
      <c r="AH59" s="249"/>
      <c r="AI59" s="249"/>
      <c r="AJ59" s="249"/>
      <c r="AK59" s="249"/>
      <c r="AL59" s="249"/>
    </row>
    <row r="60" spans="2:38" ht="14.1" customHeight="1">
      <c r="D60" s="302" t="str">
        <f>IF(L57="","",IF(T57=0,V57,V58))</f>
        <v>Because there is no significant differences between the VCI and PRI, explain the meaning of the scales not being significantly different.</v>
      </c>
      <c r="E60" s="332"/>
      <c r="F60" s="332"/>
      <c r="G60" s="332"/>
      <c r="H60" s="332"/>
      <c r="I60" s="332"/>
      <c r="J60" s="332"/>
      <c r="K60" s="332"/>
      <c r="L60" s="332"/>
      <c r="M60" s="332"/>
      <c r="N60" s="332"/>
      <c r="O60" s="332"/>
      <c r="P60" s="333"/>
      <c r="S60" s="250"/>
      <c r="T60" s="249"/>
      <c r="U60" s="249"/>
      <c r="V60" s="249"/>
      <c r="W60" s="249"/>
      <c r="X60" s="249"/>
      <c r="Y60" s="249"/>
      <c r="Z60" s="249"/>
      <c r="AA60" s="249"/>
      <c r="AB60" s="249"/>
      <c r="AC60" s="249"/>
      <c r="AD60" s="249"/>
      <c r="AE60" s="249"/>
      <c r="AF60" s="249"/>
      <c r="AG60" s="249"/>
      <c r="AH60" s="249"/>
      <c r="AI60" s="249"/>
      <c r="AJ60" s="249"/>
      <c r="AK60" s="249"/>
      <c r="AL60" s="249"/>
    </row>
    <row r="61" spans="2:38" ht="14.1" customHeight="1">
      <c r="D61" s="302"/>
      <c r="E61" s="332"/>
      <c r="F61" s="332"/>
      <c r="G61" s="332"/>
      <c r="H61" s="332"/>
      <c r="I61" s="332"/>
      <c r="J61" s="332"/>
      <c r="K61" s="332"/>
      <c r="L61" s="332"/>
      <c r="M61" s="332"/>
      <c r="N61" s="332"/>
      <c r="O61" s="332"/>
      <c r="P61" s="333"/>
      <c r="S61" s="250"/>
      <c r="T61" s="249"/>
      <c r="U61" s="249"/>
      <c r="V61" s="249"/>
      <c r="W61" s="249"/>
      <c r="X61" s="249"/>
      <c r="Y61" s="249"/>
      <c r="Z61" s="249"/>
      <c r="AA61" s="249"/>
      <c r="AB61" s="249"/>
      <c r="AC61" s="249"/>
      <c r="AD61" s="249"/>
      <c r="AE61" s="249"/>
      <c r="AF61" s="249"/>
      <c r="AG61" s="249"/>
      <c r="AH61" s="249"/>
      <c r="AI61" s="249"/>
      <c r="AJ61" s="249"/>
      <c r="AK61" s="249"/>
      <c r="AL61" s="249"/>
    </row>
    <row r="62" spans="2:38" ht="4.5" customHeight="1" thickBot="1">
      <c r="D62" s="41"/>
      <c r="E62" s="42"/>
      <c r="F62" s="42"/>
      <c r="G62" s="42"/>
      <c r="H62" s="42"/>
      <c r="I62" s="42"/>
      <c r="J62" s="42"/>
      <c r="K62" s="42"/>
      <c r="L62" s="42"/>
      <c r="M62" s="42"/>
      <c r="N62" s="42"/>
      <c r="O62" s="42"/>
      <c r="P62" s="43"/>
      <c r="S62" s="250"/>
      <c r="T62" s="249"/>
      <c r="U62" s="249"/>
      <c r="V62" s="249"/>
      <c r="W62" s="249"/>
      <c r="X62" s="249"/>
      <c r="Y62" s="249"/>
      <c r="Z62" s="249"/>
      <c r="AA62" s="249"/>
      <c r="AB62" s="249"/>
      <c r="AC62" s="249"/>
      <c r="AD62" s="249"/>
      <c r="AE62" s="249"/>
      <c r="AF62" s="249"/>
      <c r="AG62" s="249"/>
      <c r="AH62" s="249"/>
      <c r="AI62" s="249"/>
      <c r="AJ62" s="249"/>
      <c r="AK62" s="249"/>
      <c r="AL62" s="249"/>
    </row>
    <row r="63" spans="2:38" ht="9" customHeight="1">
      <c r="D63" s="44"/>
      <c r="E63" s="44"/>
      <c r="F63" s="44"/>
      <c r="G63" s="44"/>
      <c r="H63" s="44"/>
      <c r="I63" s="44"/>
      <c r="J63" s="44"/>
      <c r="K63" s="44"/>
      <c r="L63" s="44"/>
      <c r="M63" s="44"/>
      <c r="N63" s="44"/>
      <c r="O63" s="44"/>
      <c r="P63" s="35"/>
      <c r="S63" s="250"/>
      <c r="T63" s="249"/>
      <c r="U63" s="249"/>
      <c r="V63" s="249"/>
      <c r="W63" s="249"/>
      <c r="X63" s="249"/>
      <c r="Y63" s="249"/>
      <c r="Z63" s="249"/>
      <c r="AA63" s="249"/>
      <c r="AB63" s="249"/>
      <c r="AC63" s="249"/>
      <c r="AD63" s="249"/>
      <c r="AE63" s="249"/>
      <c r="AF63" s="249"/>
      <c r="AG63" s="249"/>
      <c r="AH63" s="249"/>
      <c r="AI63" s="249"/>
      <c r="AJ63" s="249"/>
      <c r="AK63" s="249"/>
      <c r="AL63" s="249"/>
    </row>
    <row r="64" spans="2:38" ht="14.1" customHeight="1">
      <c r="B64" s="316" t="s">
        <v>115</v>
      </c>
      <c r="C64" s="316"/>
      <c r="D64" s="316"/>
      <c r="E64" s="316"/>
      <c r="F64" s="316"/>
      <c r="G64" s="316"/>
      <c r="H64" s="316"/>
      <c r="I64" s="316"/>
      <c r="J64" s="316"/>
      <c r="K64" s="316"/>
      <c r="L64" s="316"/>
      <c r="M64" s="316"/>
      <c r="N64" s="316"/>
      <c r="O64" s="316"/>
      <c r="P64" s="316"/>
      <c r="Q64" s="316"/>
      <c r="S64" s="250"/>
      <c r="T64" s="249"/>
      <c r="U64" s="249"/>
      <c r="V64" s="249"/>
      <c r="W64" s="249"/>
      <c r="X64" s="249"/>
      <c r="Y64" s="249"/>
      <c r="Z64" s="249"/>
      <c r="AA64" s="249"/>
      <c r="AB64" s="249"/>
      <c r="AC64" s="249"/>
      <c r="AD64" s="249"/>
      <c r="AE64" s="249"/>
      <c r="AF64" s="249"/>
      <c r="AG64" s="249"/>
      <c r="AH64" s="249"/>
      <c r="AI64" s="249"/>
      <c r="AJ64" s="249"/>
      <c r="AK64" s="249"/>
      <c r="AL64" s="249"/>
    </row>
    <row r="65" spans="2:27" ht="4.5" customHeight="1">
      <c r="B65" s="35"/>
      <c r="C65" s="35"/>
      <c r="D65" s="35"/>
      <c r="E65" s="35"/>
      <c r="F65" s="35"/>
      <c r="G65" s="35"/>
      <c r="H65" s="35"/>
      <c r="I65" s="35"/>
      <c r="J65" s="35"/>
      <c r="K65" s="35"/>
      <c r="L65" s="35"/>
      <c r="M65" s="35"/>
      <c r="N65" s="35"/>
      <c r="O65" s="35"/>
      <c r="P65" s="35"/>
      <c r="S65" s="250"/>
      <c r="T65" s="249"/>
      <c r="U65" s="249"/>
      <c r="V65" s="249"/>
      <c r="W65" s="249">
        <v>1</v>
      </c>
      <c r="X65" s="249">
        <v>2</v>
      </c>
      <c r="Y65" s="249">
        <v>3</v>
      </c>
      <c r="Z65" s="249">
        <v>4</v>
      </c>
      <c r="AA65" s="249">
        <v>5</v>
      </c>
    </row>
    <row r="66" spans="2:27" ht="14.1" customHeight="1">
      <c r="B66" s="35"/>
      <c r="C66" s="324" t="str">
        <f>"VCI ("&amp;H46&amp;") vs PRI ("&amp;H47&amp;") Difference"</f>
        <v>VCI (116) vs PRI (109) Difference</v>
      </c>
      <c r="D66" s="324"/>
      <c r="E66" s="35"/>
      <c r="F66" s="35" t="s">
        <v>116</v>
      </c>
      <c r="G66" s="35"/>
      <c r="H66" s="35"/>
      <c r="I66" s="35"/>
      <c r="J66" s="35"/>
      <c r="K66" s="35"/>
      <c r="L66" s="324" t="s">
        <v>117</v>
      </c>
      <c r="M66" s="324"/>
      <c r="N66" s="324"/>
      <c r="O66" s="324"/>
      <c r="P66" s="324"/>
      <c r="S66" s="250"/>
      <c r="T66" s="249">
        <f>IF(H46=H47,0,IF(H46&gt;H47,1,2))</f>
        <v>1</v>
      </c>
      <c r="U66" s="249">
        <f>IF(H50&gt;119,5,IF(H50&gt;109,4,IF(H50&gt;89,3,IF(H50&gt;79,2,1))))</f>
        <v>4</v>
      </c>
      <c r="V66" s="249">
        <v>1</v>
      </c>
      <c r="W66" s="249">
        <v>17</v>
      </c>
      <c r="X66" s="249">
        <v>16</v>
      </c>
      <c r="Y66" s="249">
        <v>16</v>
      </c>
      <c r="Z66" s="249">
        <v>18</v>
      </c>
      <c r="AA66" s="249">
        <v>20</v>
      </c>
    </row>
    <row r="67" spans="2:27" ht="14.1" customHeight="1">
      <c r="B67" s="35"/>
      <c r="C67" s="324" t="str">
        <f>D57&amp;" ("&amp;T67&amp;")"</f>
        <v>7 points (V &gt; P)</v>
      </c>
      <c r="D67" s="324"/>
      <c r="E67" s="35"/>
      <c r="F67" s="343">
        <f>INDEX(W66:AA67,T66,U66)</f>
        <v>18</v>
      </c>
      <c r="G67" s="343"/>
      <c r="H67" s="343"/>
      <c r="I67" s="343"/>
      <c r="J67" s="343"/>
      <c r="K67" s="343"/>
      <c r="L67" s="305" t="str">
        <f>IF(D57="","",IF(T56&lt;F67,"NO","YES"))</f>
        <v>NO</v>
      </c>
      <c r="M67" s="305"/>
      <c r="N67" s="305"/>
      <c r="O67" s="305"/>
      <c r="P67" s="305"/>
      <c r="S67" s="250"/>
      <c r="T67" s="254" t="str">
        <f>IF(H46=H47,"V = P",IF(H46&gt;H47,"V &gt; P","V &lt; P"))</f>
        <v>V &gt; P</v>
      </c>
      <c r="U67" s="249" t="s">
        <v>118</v>
      </c>
      <c r="V67" s="249">
        <v>2</v>
      </c>
      <c r="W67" s="249">
        <v>13</v>
      </c>
      <c r="X67" s="249">
        <v>15</v>
      </c>
      <c r="Y67" s="249">
        <v>18</v>
      </c>
      <c r="Z67" s="249">
        <v>19</v>
      </c>
      <c r="AA67" s="249">
        <v>20</v>
      </c>
    </row>
    <row r="68" spans="2:27" ht="4.5" customHeight="1" thickBot="1">
      <c r="D68" s="44"/>
      <c r="E68" s="44"/>
      <c r="F68" s="44"/>
      <c r="G68" s="44"/>
      <c r="H68" s="44"/>
      <c r="I68" s="44"/>
      <c r="J68" s="44"/>
      <c r="K68" s="44"/>
      <c r="L68" s="44"/>
      <c r="M68" s="44"/>
      <c r="N68" s="44"/>
      <c r="O68" s="44"/>
      <c r="P68" s="35"/>
      <c r="S68" s="250"/>
      <c r="T68" s="249"/>
      <c r="U68" s="249"/>
      <c r="V68" s="249"/>
      <c r="W68" s="249"/>
      <c r="X68" s="249"/>
      <c r="Y68" s="249"/>
      <c r="Z68" s="249"/>
      <c r="AA68" s="249"/>
    </row>
    <row r="69" spans="2:27" ht="4.5" customHeight="1">
      <c r="D69" s="38"/>
      <c r="E69" s="39"/>
      <c r="F69" s="39"/>
      <c r="G69" s="39"/>
      <c r="H69" s="39"/>
      <c r="I69" s="39"/>
      <c r="J69" s="39"/>
      <c r="K69" s="39"/>
      <c r="L69" s="39"/>
      <c r="M69" s="39"/>
      <c r="N69" s="39"/>
      <c r="O69" s="39"/>
      <c r="P69" s="40"/>
      <c r="S69" s="250"/>
      <c r="T69" s="249">
        <f>IF(L67="NO",0,1)</f>
        <v>0</v>
      </c>
      <c r="U69" s="249"/>
      <c r="V69" s="249" t="s">
        <v>119</v>
      </c>
      <c r="W69" s="249"/>
      <c r="X69" s="249"/>
      <c r="Y69" s="249"/>
      <c r="Z69" s="249"/>
      <c r="AA69" s="249"/>
    </row>
    <row r="70" spans="2:27" ht="14.1" customHeight="1">
      <c r="D70" s="302" t="str">
        <f>IF(L67="","",IF(T69=0,V69,V70))</f>
        <v>Because no abnormal differences are found, determine if the noted differences are interpretable.</v>
      </c>
      <c r="E70" s="332"/>
      <c r="F70" s="332"/>
      <c r="G70" s="332"/>
      <c r="H70" s="332"/>
      <c r="I70" s="332"/>
      <c r="J70" s="332"/>
      <c r="K70" s="332"/>
      <c r="L70" s="332"/>
      <c r="M70" s="332"/>
      <c r="N70" s="332"/>
      <c r="O70" s="332"/>
      <c r="P70" s="333"/>
      <c r="S70" s="250"/>
      <c r="T70" s="249"/>
      <c r="U70" s="249"/>
      <c r="V70" s="249" t="s">
        <v>120</v>
      </c>
      <c r="W70" s="249"/>
      <c r="X70" s="249"/>
      <c r="Y70" s="249"/>
      <c r="Z70" s="249"/>
      <c r="AA70" s="249"/>
    </row>
    <row r="71" spans="2:27" ht="14.1" customHeight="1">
      <c r="D71" s="302"/>
      <c r="E71" s="332"/>
      <c r="F71" s="332"/>
      <c r="G71" s="332"/>
      <c r="H71" s="332"/>
      <c r="I71" s="332"/>
      <c r="J71" s="332"/>
      <c r="K71" s="332"/>
      <c r="L71" s="332"/>
      <c r="M71" s="332"/>
      <c r="N71" s="332"/>
      <c r="O71" s="332"/>
      <c r="P71" s="333"/>
      <c r="S71" s="250"/>
      <c r="T71" s="249"/>
      <c r="U71" s="249"/>
      <c r="V71" s="249"/>
      <c r="W71" s="249"/>
      <c r="X71" s="249"/>
      <c r="Y71" s="249"/>
      <c r="Z71" s="249"/>
      <c r="AA71" s="249"/>
    </row>
    <row r="72" spans="2:27" ht="5.25" customHeight="1" thickBot="1">
      <c r="D72" s="45"/>
      <c r="E72" s="46"/>
      <c r="F72" s="46"/>
      <c r="G72" s="46"/>
      <c r="H72" s="46"/>
      <c r="I72" s="46"/>
      <c r="J72" s="46"/>
      <c r="K72" s="46"/>
      <c r="L72" s="46"/>
      <c r="M72" s="46"/>
      <c r="N72" s="46"/>
      <c r="O72" s="46"/>
      <c r="P72" s="43"/>
      <c r="S72" s="250"/>
      <c r="T72" s="249"/>
      <c r="U72" s="249"/>
      <c r="V72" s="249"/>
      <c r="W72" s="249"/>
      <c r="X72" s="249"/>
      <c r="Y72" s="249"/>
      <c r="Z72" s="249"/>
      <c r="AA72" s="249"/>
    </row>
    <row r="73" spans="2:27" ht="8.25" customHeight="1">
      <c r="D73" s="44"/>
      <c r="E73" s="44"/>
      <c r="F73" s="44"/>
      <c r="G73" s="44"/>
      <c r="H73" s="44"/>
      <c r="I73" s="44"/>
      <c r="J73" s="44"/>
      <c r="K73" s="44"/>
      <c r="L73" s="44"/>
      <c r="M73" s="44"/>
      <c r="N73" s="44"/>
      <c r="O73" s="44"/>
      <c r="P73" s="35"/>
      <c r="S73" s="250"/>
      <c r="T73" s="249"/>
      <c r="U73" s="249"/>
      <c r="V73" s="249"/>
      <c r="W73" s="249"/>
      <c r="X73" s="249"/>
      <c r="Y73" s="249"/>
      <c r="Z73" s="249"/>
      <c r="AA73" s="249"/>
    </row>
    <row r="74" spans="2:27" ht="14.1" customHeight="1">
      <c r="B74" s="316" t="s">
        <v>121</v>
      </c>
      <c r="C74" s="316"/>
      <c r="D74" s="316"/>
      <c r="E74" s="316"/>
      <c r="F74" s="316"/>
      <c r="G74" s="316"/>
      <c r="H74" s="316"/>
      <c r="I74" s="316"/>
      <c r="J74" s="316"/>
      <c r="K74" s="316"/>
      <c r="L74" s="316"/>
      <c r="M74" s="316"/>
      <c r="N74" s="316"/>
      <c r="O74" s="316"/>
      <c r="P74" s="316"/>
      <c r="Q74" s="316"/>
      <c r="S74" s="250"/>
      <c r="T74" s="249"/>
      <c r="U74" s="249"/>
      <c r="V74" s="249"/>
      <c r="W74" s="249"/>
      <c r="X74" s="249"/>
      <c r="Y74" s="249"/>
      <c r="Z74" s="249"/>
      <c r="AA74" s="249"/>
    </row>
    <row r="75" spans="2:27" ht="4.5" customHeight="1">
      <c r="D75" s="37"/>
      <c r="S75" s="250"/>
      <c r="T75" s="249"/>
      <c r="U75" s="249"/>
      <c r="V75" s="249"/>
      <c r="W75" s="249"/>
      <c r="X75" s="249"/>
      <c r="Y75" s="249"/>
      <c r="Z75" s="249"/>
      <c r="AA75" s="249"/>
    </row>
    <row r="76" spans="2:27" ht="14.1" customHeight="1">
      <c r="D76" s="47" t="s">
        <v>122</v>
      </c>
      <c r="E76" s="35"/>
      <c r="F76" s="35"/>
      <c r="G76" s="35"/>
      <c r="H76" s="35"/>
      <c r="I76" s="35"/>
      <c r="J76" s="35"/>
      <c r="K76" s="35"/>
      <c r="L76" s="35"/>
      <c r="M76" s="325" t="s">
        <v>123</v>
      </c>
      <c r="N76" s="325"/>
      <c r="O76" s="325"/>
      <c r="P76" s="325"/>
      <c r="S76" s="250"/>
      <c r="T76" s="249"/>
      <c r="U76" s="249"/>
      <c r="V76" s="249"/>
      <c r="W76" s="249"/>
      <c r="X76" s="249"/>
      <c r="Y76" s="249"/>
      <c r="Z76" s="249"/>
      <c r="AA76" s="249"/>
    </row>
    <row r="77" spans="2:27" ht="14.1" customHeight="1">
      <c r="D77" s="324" t="s">
        <v>124</v>
      </c>
      <c r="E77" s="324"/>
      <c r="F77" s="324"/>
      <c r="G77" s="324"/>
      <c r="H77" s="324"/>
      <c r="I77" s="322" t="s">
        <v>125</v>
      </c>
      <c r="J77" s="323"/>
      <c r="K77" s="323" t="s">
        <v>126</v>
      </c>
      <c r="L77" s="326"/>
      <c r="M77" s="325"/>
      <c r="N77" s="325"/>
      <c r="O77" s="325"/>
      <c r="P77" s="325"/>
      <c r="S77" s="250"/>
      <c r="T77" s="249"/>
      <c r="U77" s="249"/>
      <c r="V77" s="249"/>
      <c r="W77" s="249"/>
      <c r="X77" s="249"/>
      <c r="Y77" s="249"/>
      <c r="Z77" s="249"/>
      <c r="AA77" s="249"/>
    </row>
    <row r="78" spans="2:27" ht="14.1" customHeight="1">
      <c r="D78" s="324" t="str">
        <f>AA51&amp;U78&amp;" between "&amp;AA47&amp;" subtests"</f>
        <v>5 points between 4 subtests</v>
      </c>
      <c r="E78" s="324"/>
      <c r="F78" s="324"/>
      <c r="G78" s="324"/>
      <c r="H78" s="324"/>
      <c r="I78" s="329" t="s">
        <v>127</v>
      </c>
      <c r="J78" s="330"/>
      <c r="K78" s="327" t="s">
        <v>128</v>
      </c>
      <c r="L78" s="328"/>
      <c r="M78" s="305" t="str">
        <f>IF(AA51&gt;5,"YES","NO")</f>
        <v>NO</v>
      </c>
      <c r="N78" s="305"/>
      <c r="O78" s="305"/>
      <c r="P78" s="305"/>
      <c r="S78" s="250"/>
      <c r="T78" s="249"/>
      <c r="U78" s="249" t="str">
        <f>IF(AA51=1," point"," points")</f>
        <v xml:space="preserve"> points</v>
      </c>
      <c r="V78" s="249"/>
      <c r="W78" s="249"/>
      <c r="X78" s="249"/>
      <c r="Y78" s="249"/>
      <c r="Z78" s="249"/>
      <c r="AA78" s="249"/>
    </row>
    <row r="79" spans="2:27" ht="3.75" customHeight="1">
      <c r="D79" s="171"/>
      <c r="E79" s="171"/>
      <c r="F79" s="171"/>
      <c r="G79" s="171"/>
      <c r="I79" s="48"/>
      <c r="J79" s="48"/>
      <c r="K79" s="48"/>
      <c r="M79" s="176"/>
      <c r="N79" s="176"/>
      <c r="O79" s="176"/>
      <c r="P79" s="176"/>
      <c r="S79" s="250"/>
      <c r="T79" s="249"/>
      <c r="U79" s="249"/>
      <c r="V79" s="249"/>
      <c r="W79" s="249"/>
      <c r="X79" s="249"/>
      <c r="Y79" s="249"/>
      <c r="Z79" s="249"/>
      <c r="AA79" s="249"/>
    </row>
    <row r="80" spans="2:27" ht="3" customHeight="1">
      <c r="S80" s="249"/>
      <c r="T80" s="249"/>
      <c r="U80" s="249"/>
      <c r="V80" s="249"/>
      <c r="W80" s="249"/>
      <c r="X80" s="249"/>
      <c r="Y80" s="249"/>
      <c r="Z80" s="249"/>
      <c r="AA80" s="249"/>
    </row>
    <row r="81" spans="2:23" ht="14.1" customHeight="1">
      <c r="D81" s="47" t="s">
        <v>129</v>
      </c>
      <c r="E81" s="35"/>
      <c r="F81" s="35"/>
      <c r="G81" s="35"/>
      <c r="H81" s="35"/>
      <c r="K81" s="35"/>
      <c r="L81" s="35"/>
      <c r="M81" s="325" t="s">
        <v>123</v>
      </c>
      <c r="N81" s="325"/>
      <c r="O81" s="325"/>
      <c r="P81" s="325"/>
      <c r="Q81" s="35"/>
      <c r="S81" s="249"/>
      <c r="T81" s="249"/>
      <c r="U81" s="249"/>
      <c r="V81" s="249"/>
      <c r="W81" s="249"/>
    </row>
    <row r="82" spans="2:23" ht="14.1" customHeight="1">
      <c r="D82" s="324" t="s">
        <v>130</v>
      </c>
      <c r="E82" s="324"/>
      <c r="F82" s="324"/>
      <c r="G82" s="324"/>
      <c r="H82" s="324"/>
      <c r="I82" s="322" t="s">
        <v>125</v>
      </c>
      <c r="J82" s="323"/>
      <c r="K82" s="323" t="s">
        <v>126</v>
      </c>
      <c r="L82" s="326"/>
      <c r="M82" s="325"/>
      <c r="N82" s="325"/>
      <c r="O82" s="325"/>
      <c r="P82" s="325"/>
      <c r="S82" s="249"/>
      <c r="T82" s="249"/>
      <c r="U82" s="249">
        <f>IF(M78="NO",0,1)</f>
        <v>0</v>
      </c>
      <c r="V82" s="249"/>
      <c r="W82" s="249"/>
    </row>
    <row r="83" spans="2:23" ht="14.1" customHeight="1">
      <c r="D83" s="324" t="str">
        <f>AD51&amp;U84&amp;" between "&amp;AD47&amp;" subtests"</f>
        <v>7 points between 5 subtests</v>
      </c>
      <c r="E83" s="324"/>
      <c r="F83" s="324"/>
      <c r="G83" s="324"/>
      <c r="H83" s="324"/>
      <c r="I83" s="329" t="str">
        <f>IF(AD47&lt;5,"0 - 6","0 - 7")</f>
        <v>0 - 7</v>
      </c>
      <c r="J83" s="330"/>
      <c r="K83" s="327" t="str">
        <f>IF(AD47&lt;5,"7 or more","8 or more")</f>
        <v>8 or more</v>
      </c>
      <c r="L83" s="328"/>
      <c r="M83" s="305" t="str">
        <f>IF(AND(AD47&lt;5,AD51&gt;6),"YES",IF(AND(AD47=5,AD51&gt;7),"YES","NO"))</f>
        <v>NO</v>
      </c>
      <c r="N83" s="305"/>
      <c r="O83" s="305"/>
      <c r="P83" s="305"/>
      <c r="S83" s="249"/>
      <c r="T83" s="249"/>
      <c r="U83" s="249">
        <f>IF(M83="NO",0,1)</f>
        <v>0</v>
      </c>
      <c r="V83" s="249">
        <f>U82+U83</f>
        <v>0</v>
      </c>
      <c r="W83" s="249" t="s">
        <v>131</v>
      </c>
    </row>
    <row r="84" spans="2:23" ht="12" customHeight="1" thickBot="1">
      <c r="S84" s="249"/>
      <c r="T84" s="249"/>
      <c r="U84" s="249" t="str">
        <f>IF(AD51=1," point"," points")</f>
        <v xml:space="preserve"> points</v>
      </c>
      <c r="V84" s="249"/>
      <c r="W84" s="249" t="s">
        <v>132</v>
      </c>
    </row>
    <row r="85" spans="2:23" ht="4.5" customHeight="1">
      <c r="D85" s="49"/>
      <c r="E85" s="50"/>
      <c r="F85" s="50"/>
      <c r="G85" s="50"/>
      <c r="H85" s="50"/>
      <c r="I85" s="50"/>
      <c r="J85" s="50"/>
      <c r="K85" s="50"/>
      <c r="L85" s="50"/>
      <c r="M85" s="50"/>
      <c r="N85" s="50"/>
      <c r="O85" s="50"/>
      <c r="P85" s="51"/>
      <c r="S85" s="249"/>
      <c r="T85" s="249"/>
      <c r="U85" s="249"/>
      <c r="V85" s="249"/>
      <c r="W85" s="249"/>
    </row>
    <row r="86" spans="2:23" ht="14.1" customHeight="1">
      <c r="D86" s="302" t="str">
        <f>IF(V83=0,W83,W84)</f>
        <v xml:space="preserve">Because each answers to A and B was NO, the VCI versus PRI discrepancy is interpretable. </v>
      </c>
      <c r="E86" s="332"/>
      <c r="F86" s="332"/>
      <c r="G86" s="332"/>
      <c r="H86" s="332"/>
      <c r="I86" s="332"/>
      <c r="J86" s="332"/>
      <c r="K86" s="332"/>
      <c r="L86" s="332"/>
      <c r="M86" s="332"/>
      <c r="N86" s="332"/>
      <c r="O86" s="332"/>
      <c r="P86" s="333"/>
      <c r="S86" s="249"/>
      <c r="T86" s="249"/>
      <c r="U86" s="249"/>
      <c r="V86" s="249"/>
      <c r="W86" s="249"/>
    </row>
    <row r="87" spans="2:23" ht="14.1" customHeight="1">
      <c r="D87" s="302"/>
      <c r="E87" s="332"/>
      <c r="F87" s="332"/>
      <c r="G87" s="332"/>
      <c r="H87" s="332"/>
      <c r="I87" s="332"/>
      <c r="J87" s="332"/>
      <c r="K87" s="332"/>
      <c r="L87" s="332"/>
      <c r="M87" s="332"/>
      <c r="N87" s="332"/>
      <c r="O87" s="332"/>
      <c r="P87" s="333"/>
      <c r="S87" s="249"/>
      <c r="T87" s="249"/>
      <c r="U87" s="249"/>
      <c r="V87" s="249"/>
      <c r="W87" s="249"/>
    </row>
    <row r="88" spans="2:23" ht="4.5" customHeight="1" thickBot="1">
      <c r="D88" s="52"/>
      <c r="E88" s="53"/>
      <c r="F88" s="53"/>
      <c r="G88" s="53"/>
      <c r="H88" s="53"/>
      <c r="I88" s="53"/>
      <c r="J88" s="53"/>
      <c r="K88" s="53"/>
      <c r="L88" s="53"/>
      <c r="M88" s="53"/>
      <c r="N88" s="53"/>
      <c r="O88" s="53"/>
      <c r="P88" s="54"/>
      <c r="S88" s="249"/>
      <c r="T88" s="249"/>
      <c r="U88" s="249"/>
      <c r="V88" s="249"/>
      <c r="W88" s="249"/>
    </row>
    <row r="89" spans="2:23" ht="4.5" customHeight="1">
      <c r="D89" s="171"/>
      <c r="E89" s="171"/>
      <c r="F89" s="171"/>
      <c r="G89" s="171"/>
      <c r="H89" s="171"/>
      <c r="I89" s="171"/>
      <c r="J89" s="171"/>
      <c r="K89" s="55"/>
      <c r="L89" s="55"/>
      <c r="M89" s="176"/>
      <c r="N89" s="176"/>
      <c r="O89" s="176"/>
      <c r="P89" s="176"/>
      <c r="S89" s="250"/>
      <c r="T89" s="249"/>
      <c r="U89" s="249"/>
      <c r="V89" s="249"/>
      <c r="W89" s="249"/>
    </row>
    <row r="90" spans="2:23" ht="14.1" customHeight="1">
      <c r="B90" s="316" t="s">
        <v>133</v>
      </c>
      <c r="C90" s="316"/>
      <c r="D90" s="316"/>
      <c r="E90" s="316"/>
      <c r="F90" s="316"/>
      <c r="G90" s="316"/>
      <c r="H90" s="316"/>
      <c r="I90" s="316"/>
      <c r="J90" s="316"/>
      <c r="K90" s="316"/>
      <c r="L90" s="316"/>
      <c r="M90" s="316"/>
      <c r="N90" s="316"/>
      <c r="O90" s="316"/>
      <c r="P90" s="316"/>
      <c r="Q90" s="316"/>
      <c r="S90" s="250"/>
      <c r="T90" s="249"/>
      <c r="U90" s="249"/>
      <c r="V90" s="249"/>
      <c r="W90" s="249"/>
    </row>
    <row r="91" spans="2:23" ht="9.75" customHeight="1">
      <c r="D91" s="171"/>
      <c r="E91" s="171"/>
      <c r="F91" s="171"/>
      <c r="G91" s="171"/>
      <c r="H91" s="171"/>
      <c r="I91" s="171"/>
      <c r="J91" s="171"/>
      <c r="K91" s="55"/>
      <c r="L91" s="55"/>
      <c r="M91" s="176"/>
      <c r="N91" s="176"/>
      <c r="O91" s="176"/>
      <c r="P91" s="176"/>
      <c r="S91" s="250"/>
      <c r="T91" s="249"/>
      <c r="U91" s="249"/>
      <c r="V91" s="249"/>
      <c r="W91" s="249"/>
    </row>
    <row r="92" spans="2:23" ht="14.1" customHeight="1">
      <c r="D92" s="47" t="s">
        <v>134</v>
      </c>
      <c r="E92" s="35"/>
      <c r="F92" s="35"/>
      <c r="G92" s="35"/>
      <c r="H92" s="35"/>
      <c r="I92" s="35"/>
      <c r="J92" s="35"/>
      <c r="K92" s="35"/>
      <c r="L92" s="35"/>
      <c r="M92" s="325" t="s">
        <v>123</v>
      </c>
      <c r="N92" s="325"/>
      <c r="O92" s="325"/>
      <c r="P92" s="325"/>
      <c r="S92" s="249"/>
      <c r="T92" s="249"/>
      <c r="U92" s="249"/>
      <c r="V92" s="249"/>
      <c r="W92" s="249"/>
    </row>
    <row r="93" spans="2:23" ht="14.1" customHeight="1">
      <c r="D93" s="324" t="str">
        <f>IF(AB32=1,"No Index Computed","WMI Subtests [ DS ("&amp;F14&amp;") AR ("&amp;F17&amp;") ] Difference ")</f>
        <v xml:space="preserve">WMI Subtests [ DS (12) AR (16) ] Difference </v>
      </c>
      <c r="E93" s="324"/>
      <c r="F93" s="324"/>
      <c r="G93" s="324"/>
      <c r="H93" s="324"/>
      <c r="I93" s="322" t="s">
        <v>125</v>
      </c>
      <c r="J93" s="323"/>
      <c r="K93" s="323" t="s">
        <v>126</v>
      </c>
      <c r="L93" s="326"/>
      <c r="M93" s="325"/>
      <c r="N93" s="325"/>
      <c r="O93" s="325"/>
      <c r="P93" s="325"/>
      <c r="S93" s="249"/>
      <c r="T93" s="249"/>
      <c r="U93" s="249">
        <f>ABS(AF37-AF38)</f>
        <v>4</v>
      </c>
      <c r="V93" s="249"/>
      <c r="W93" s="249"/>
    </row>
    <row r="94" spans="2:23" ht="14.1" customHeight="1">
      <c r="D94" s="324" t="str">
        <f>U93&amp;U95</f>
        <v>4 points</v>
      </c>
      <c r="E94" s="324"/>
      <c r="F94" s="324"/>
      <c r="G94" s="324"/>
      <c r="H94" s="324"/>
      <c r="I94" s="329" t="s">
        <v>135</v>
      </c>
      <c r="J94" s="330"/>
      <c r="K94" s="327" t="s">
        <v>136</v>
      </c>
      <c r="L94" s="328"/>
      <c r="M94" s="305" t="str">
        <f>IF(AE41&lt;&gt;2,"",IF(U93&gt;4,"YES","NO"))</f>
        <v>NO</v>
      </c>
      <c r="N94" s="305"/>
      <c r="O94" s="305"/>
      <c r="P94" s="305"/>
      <c r="S94" s="249"/>
      <c r="T94" s="249"/>
      <c r="U94" s="249">
        <f>IF(M94="NO",0,1)</f>
        <v>0</v>
      </c>
      <c r="V94" s="249"/>
      <c r="W94" s="249"/>
    </row>
    <row r="95" spans="2:23" ht="6.75" customHeight="1" thickBot="1">
      <c r="S95" s="249"/>
      <c r="T95" s="249"/>
      <c r="U95" s="249" t="str">
        <f>IF(U93=1," point"," points")</f>
        <v xml:space="preserve"> points</v>
      </c>
      <c r="V95" s="249"/>
      <c r="W95" s="249"/>
    </row>
    <row r="96" spans="2:23" ht="4.5" customHeight="1">
      <c r="D96" s="49"/>
      <c r="E96" s="50"/>
      <c r="F96" s="50"/>
      <c r="G96" s="50"/>
      <c r="H96" s="50"/>
      <c r="I96" s="50"/>
      <c r="J96" s="50"/>
      <c r="K96" s="50"/>
      <c r="L96" s="50"/>
      <c r="M96" s="50"/>
      <c r="N96" s="50"/>
      <c r="O96" s="50"/>
      <c r="P96" s="51"/>
      <c r="S96" s="250"/>
      <c r="T96" s="249"/>
      <c r="U96" s="249"/>
      <c r="V96" s="249"/>
      <c r="W96" s="249"/>
    </row>
    <row r="97" spans="2:34" ht="14.1" customHeight="1">
      <c r="D97" s="339" t="str">
        <f>IF(AE41&lt;&gt;2,"No index computed",IF(U94=0,"The WMI may be interpreted.","Because of subtest differences in the WMI, do not interpret WMI."))</f>
        <v>The WMI may be interpreted.</v>
      </c>
      <c r="E97" s="340"/>
      <c r="F97" s="340"/>
      <c r="G97" s="340"/>
      <c r="H97" s="340"/>
      <c r="I97" s="340"/>
      <c r="J97" s="340"/>
      <c r="K97" s="340"/>
      <c r="L97" s="340"/>
      <c r="M97" s="340"/>
      <c r="N97" s="340"/>
      <c r="O97" s="340"/>
      <c r="P97" s="341"/>
      <c r="S97" s="250"/>
      <c r="T97" s="249"/>
      <c r="U97" s="249"/>
      <c r="V97" s="249"/>
      <c r="W97" s="249"/>
      <c r="X97" s="249"/>
      <c r="Y97" s="249"/>
      <c r="Z97" s="249"/>
      <c r="AA97" s="249"/>
      <c r="AB97" s="249"/>
      <c r="AC97" s="249"/>
      <c r="AD97" s="249"/>
      <c r="AE97" s="249"/>
      <c r="AF97" s="249"/>
      <c r="AG97" s="249"/>
      <c r="AH97" s="249"/>
    </row>
    <row r="98" spans="2:34" ht="6" customHeight="1" thickBot="1">
      <c r="D98" s="52"/>
      <c r="E98" s="53"/>
      <c r="F98" s="53"/>
      <c r="G98" s="53"/>
      <c r="H98" s="53"/>
      <c r="I98" s="53"/>
      <c r="J98" s="53"/>
      <c r="K98" s="53"/>
      <c r="L98" s="53"/>
      <c r="M98" s="53"/>
      <c r="N98" s="53"/>
      <c r="O98" s="53"/>
      <c r="P98" s="54"/>
      <c r="S98" s="250"/>
      <c r="T98" s="249"/>
      <c r="U98" s="249"/>
      <c r="V98" s="249"/>
      <c r="W98" s="249"/>
      <c r="X98" s="249"/>
      <c r="Y98" s="249"/>
      <c r="Z98" s="249"/>
      <c r="AA98" s="249"/>
      <c r="AB98" s="249"/>
      <c r="AC98" s="249"/>
      <c r="AD98" s="249"/>
      <c r="AE98" s="249"/>
      <c r="AF98" s="249"/>
      <c r="AG98" s="249"/>
      <c r="AH98" s="249"/>
    </row>
    <row r="99" spans="2:34" ht="14.25" customHeight="1">
      <c r="S99" s="250"/>
      <c r="T99" s="249"/>
      <c r="U99" s="249"/>
      <c r="V99" s="249"/>
      <c r="W99" s="249"/>
      <c r="X99" s="249"/>
      <c r="Y99" s="249"/>
      <c r="Z99" s="249"/>
      <c r="AA99" s="249"/>
      <c r="AB99" s="249"/>
      <c r="AC99" s="249"/>
      <c r="AD99" s="249"/>
      <c r="AE99" s="249"/>
      <c r="AF99" s="249"/>
      <c r="AG99" s="249"/>
      <c r="AH99" s="249"/>
    </row>
    <row r="100" spans="2:34" ht="14.1" customHeight="1">
      <c r="B100" s="316" t="s">
        <v>137</v>
      </c>
      <c r="C100" s="316"/>
      <c r="D100" s="316"/>
      <c r="E100" s="316"/>
      <c r="F100" s="316"/>
      <c r="G100" s="316"/>
      <c r="H100" s="316"/>
      <c r="I100" s="316"/>
      <c r="J100" s="316"/>
      <c r="K100" s="316"/>
      <c r="L100" s="316"/>
      <c r="M100" s="316"/>
      <c r="N100" s="316"/>
      <c r="O100" s="316"/>
      <c r="P100" s="316"/>
      <c r="Q100" s="316"/>
      <c r="S100" s="250"/>
      <c r="T100" s="249"/>
      <c r="U100" s="249"/>
      <c r="V100" s="249"/>
      <c r="W100" s="249"/>
      <c r="X100" s="249"/>
      <c r="Y100" s="249"/>
      <c r="Z100" s="249"/>
      <c r="AA100" s="249"/>
      <c r="AB100" s="249"/>
      <c r="AC100" s="249"/>
      <c r="AD100" s="249"/>
      <c r="AE100" s="249"/>
      <c r="AF100" s="249"/>
      <c r="AG100" s="249"/>
      <c r="AH100" s="249"/>
    </row>
    <row r="101" spans="2:34" ht="6" customHeight="1">
      <c r="D101" s="171"/>
      <c r="E101" s="171"/>
      <c r="F101" s="171"/>
      <c r="G101" s="171"/>
      <c r="H101" s="171"/>
      <c r="I101" s="171"/>
      <c r="J101" s="171"/>
      <c r="K101" s="55"/>
      <c r="L101" s="55"/>
      <c r="M101" s="176"/>
      <c r="N101" s="176"/>
      <c r="O101" s="176"/>
      <c r="P101" s="176"/>
      <c r="S101" s="250"/>
      <c r="T101" s="249"/>
      <c r="U101" s="249"/>
      <c r="V101" s="249"/>
      <c r="W101" s="249"/>
      <c r="X101" s="249"/>
      <c r="Y101" s="249"/>
      <c r="Z101" s="249"/>
      <c r="AA101" s="249"/>
      <c r="AB101" s="249"/>
      <c r="AC101" s="249"/>
      <c r="AD101" s="249"/>
      <c r="AE101" s="249"/>
      <c r="AF101" s="249"/>
      <c r="AG101" s="249"/>
      <c r="AH101" s="249"/>
    </row>
    <row r="102" spans="2:34" ht="14.1" customHeight="1">
      <c r="D102" s="47" t="s">
        <v>138</v>
      </c>
      <c r="E102" s="35"/>
      <c r="F102" s="35"/>
      <c r="G102" s="35"/>
      <c r="H102" s="35"/>
      <c r="I102" s="35"/>
      <c r="J102" s="35"/>
      <c r="K102" s="35"/>
      <c r="L102" s="35"/>
      <c r="M102" s="325" t="s">
        <v>123</v>
      </c>
      <c r="N102" s="325"/>
      <c r="O102" s="325"/>
      <c r="P102" s="325"/>
      <c r="S102" s="249"/>
      <c r="T102" s="249"/>
      <c r="U102" s="249"/>
      <c r="V102" s="249"/>
      <c r="W102" s="249"/>
      <c r="X102" s="249"/>
      <c r="Y102" s="249"/>
      <c r="Z102" s="249"/>
      <c r="AA102" s="249"/>
      <c r="AB102" s="249"/>
      <c r="AC102" s="249"/>
      <c r="AD102" s="249"/>
      <c r="AE102" s="249"/>
      <c r="AF102" s="249"/>
      <c r="AG102" s="249"/>
      <c r="AH102" s="249"/>
    </row>
    <row r="103" spans="2:34" ht="14.1" customHeight="1">
      <c r="D103" s="324" t="str">
        <f>IF(AB43=1,"No Index Computed","PSI Subtests [ SS ("&amp;F21&amp;") Cd ("&amp;F18&amp;") ] Difference ")</f>
        <v xml:space="preserve">PSI Subtests [ SS (5) Cd (10) ] Difference </v>
      </c>
      <c r="E103" s="324"/>
      <c r="F103" s="324"/>
      <c r="G103" s="324"/>
      <c r="H103" s="324"/>
      <c r="I103" s="322" t="s">
        <v>125</v>
      </c>
      <c r="J103" s="323"/>
      <c r="K103" s="323" t="s">
        <v>126</v>
      </c>
      <c r="L103" s="326"/>
      <c r="M103" s="325"/>
      <c r="N103" s="325"/>
      <c r="O103" s="325"/>
      <c r="P103" s="325"/>
      <c r="S103" s="249"/>
      <c r="T103" s="249"/>
      <c r="U103" s="249">
        <f>ABS(AC37-AC38)</f>
        <v>5</v>
      </c>
      <c r="V103" s="249"/>
      <c r="W103" s="249"/>
      <c r="X103" s="249"/>
      <c r="Y103" s="249"/>
      <c r="Z103" s="249"/>
      <c r="AA103" s="249"/>
      <c r="AB103" s="249"/>
      <c r="AC103" s="249"/>
      <c r="AD103" s="249"/>
      <c r="AE103" s="249"/>
      <c r="AF103" s="249"/>
      <c r="AG103" s="249"/>
      <c r="AH103" s="249"/>
    </row>
    <row r="104" spans="2:34" ht="14.1" customHeight="1">
      <c r="D104" s="324" t="str">
        <f>U103&amp;U105</f>
        <v>5 points</v>
      </c>
      <c r="E104" s="324"/>
      <c r="F104" s="324"/>
      <c r="G104" s="324"/>
      <c r="H104" s="324"/>
      <c r="I104" s="329" t="s">
        <v>135</v>
      </c>
      <c r="J104" s="330"/>
      <c r="K104" s="327" t="s">
        <v>136</v>
      </c>
      <c r="L104" s="328"/>
      <c r="M104" s="305" t="str">
        <f>IF(AB41&lt;&gt;2,"",IF(U103&gt;3,"YES","NO"))</f>
        <v>YES</v>
      </c>
      <c r="N104" s="305"/>
      <c r="O104" s="305"/>
      <c r="P104" s="305"/>
      <c r="S104" s="249"/>
      <c r="T104" s="249"/>
      <c r="U104" s="249">
        <f>IF(M104="NO",0,1)</f>
        <v>1</v>
      </c>
      <c r="V104" s="249"/>
      <c r="W104" s="249"/>
      <c r="X104" s="249"/>
      <c r="Y104" s="249"/>
      <c r="Z104" s="249"/>
      <c r="AA104" s="249"/>
      <c r="AB104" s="249"/>
      <c r="AC104" s="249"/>
      <c r="AD104" s="249"/>
      <c r="AE104" s="249"/>
      <c r="AF104" s="249"/>
      <c r="AG104" s="249"/>
      <c r="AH104" s="249"/>
    </row>
    <row r="105" spans="2:34" ht="6.75" customHeight="1" thickBot="1">
      <c r="S105" s="249"/>
      <c r="T105" s="249"/>
      <c r="U105" s="249" t="str">
        <f>IF(U103=1," point"," points")</f>
        <v xml:space="preserve"> points</v>
      </c>
      <c r="V105" s="249"/>
      <c r="W105" s="249"/>
      <c r="X105" s="249"/>
      <c r="Y105" s="249"/>
      <c r="Z105" s="249"/>
      <c r="AA105" s="249"/>
      <c r="AB105" s="249"/>
      <c r="AC105" s="249"/>
      <c r="AD105" s="249"/>
      <c r="AE105" s="249"/>
      <c r="AF105" s="249"/>
      <c r="AG105" s="249"/>
      <c r="AH105" s="249"/>
    </row>
    <row r="106" spans="2:34" ht="4.5" customHeight="1">
      <c r="D106" s="49"/>
      <c r="E106" s="50"/>
      <c r="F106" s="50"/>
      <c r="G106" s="50"/>
      <c r="H106" s="50"/>
      <c r="I106" s="50"/>
      <c r="J106" s="50"/>
      <c r="K106" s="50"/>
      <c r="L106" s="50"/>
      <c r="M106" s="50"/>
      <c r="N106" s="50"/>
      <c r="O106" s="50"/>
      <c r="P106" s="51"/>
      <c r="S106" s="250"/>
      <c r="T106" s="249"/>
      <c r="U106" s="249"/>
      <c r="V106" s="249"/>
      <c r="W106" s="249"/>
      <c r="X106" s="249"/>
      <c r="Y106" s="249"/>
      <c r="Z106" s="249"/>
      <c r="AA106" s="249"/>
      <c r="AB106" s="249"/>
      <c r="AC106" s="249"/>
      <c r="AD106" s="249"/>
      <c r="AE106" s="249"/>
      <c r="AF106" s="249"/>
      <c r="AG106" s="249"/>
      <c r="AH106" s="249"/>
    </row>
    <row r="107" spans="2:34" ht="14.1" customHeight="1">
      <c r="D107" s="339" t="str">
        <f>IF(AB41&lt;&gt;2,"No index computed",IF(U104=0,"The PSI may be interpreted.","Because of subtest differences in the PSI, do not interpret PSI."))</f>
        <v>Because of subtest differences in the PSI, do not interpret PSI.</v>
      </c>
      <c r="E107" s="340"/>
      <c r="F107" s="340"/>
      <c r="G107" s="340"/>
      <c r="H107" s="340"/>
      <c r="I107" s="340"/>
      <c r="J107" s="340"/>
      <c r="K107" s="340"/>
      <c r="L107" s="340"/>
      <c r="M107" s="340"/>
      <c r="N107" s="340"/>
      <c r="O107" s="340"/>
      <c r="P107" s="341"/>
      <c r="S107" s="250"/>
      <c r="T107" s="249"/>
      <c r="U107" s="249"/>
      <c r="V107" s="249"/>
      <c r="W107" s="249"/>
      <c r="X107" s="249"/>
      <c r="Y107" s="249"/>
      <c r="Z107" s="249"/>
      <c r="AA107" s="249"/>
      <c r="AB107" s="249"/>
      <c r="AC107" s="249"/>
      <c r="AD107" s="249"/>
      <c r="AE107" s="249"/>
      <c r="AF107" s="249"/>
      <c r="AG107" s="249"/>
      <c r="AH107" s="249"/>
    </row>
    <row r="108" spans="2:34" ht="6" customHeight="1" thickBot="1">
      <c r="D108" s="52"/>
      <c r="E108" s="53"/>
      <c r="F108" s="53"/>
      <c r="G108" s="53"/>
      <c r="H108" s="53"/>
      <c r="I108" s="53"/>
      <c r="J108" s="53"/>
      <c r="K108" s="53"/>
      <c r="L108" s="53"/>
      <c r="M108" s="53"/>
      <c r="N108" s="53"/>
      <c r="O108" s="53"/>
      <c r="P108" s="54"/>
      <c r="S108" s="250"/>
      <c r="T108" s="249"/>
      <c r="U108" s="249"/>
      <c r="V108" s="249"/>
      <c r="W108" s="249"/>
      <c r="X108" s="249"/>
      <c r="Y108" s="249"/>
      <c r="Z108" s="249"/>
      <c r="AA108" s="249"/>
      <c r="AB108" s="249"/>
      <c r="AC108" s="249"/>
      <c r="AD108" s="249"/>
      <c r="AE108" s="249"/>
      <c r="AF108" s="249"/>
      <c r="AG108" s="249"/>
      <c r="AH108" s="249" t="s">
        <v>139</v>
      </c>
    </row>
    <row r="109" spans="2:34" ht="6" customHeight="1">
      <c r="S109" s="250"/>
      <c r="T109" s="249"/>
      <c r="U109" s="249"/>
      <c r="V109" s="249"/>
      <c r="W109" s="249"/>
      <c r="X109" s="249"/>
      <c r="Y109" s="249"/>
      <c r="Z109" s="249"/>
      <c r="AA109" s="249"/>
      <c r="AB109" s="249"/>
      <c r="AC109" s="249"/>
      <c r="AD109" s="249"/>
      <c r="AE109" s="249"/>
      <c r="AF109" s="249"/>
      <c r="AG109" s="249"/>
      <c r="AH109" s="249"/>
    </row>
    <row r="110" spans="2:34" ht="13.5" customHeight="1">
      <c r="B110" s="316" t="s">
        <v>140</v>
      </c>
      <c r="C110" s="316"/>
      <c r="D110" s="316"/>
      <c r="E110" s="316"/>
      <c r="F110" s="316"/>
      <c r="G110" s="316"/>
      <c r="H110" s="316"/>
      <c r="I110" s="316"/>
      <c r="J110" s="316"/>
      <c r="K110" s="316"/>
      <c r="L110" s="316"/>
      <c r="M110" s="316"/>
      <c r="N110" s="316"/>
      <c r="O110" s="316"/>
      <c r="P110" s="316"/>
      <c r="Q110" s="316"/>
      <c r="R110" s="128"/>
      <c r="S110" s="250"/>
      <c r="T110" s="249"/>
      <c r="U110" s="249"/>
      <c r="V110" s="249"/>
      <c r="W110" s="249"/>
      <c r="X110" s="249"/>
      <c r="Y110" s="249"/>
      <c r="Z110" s="249"/>
      <c r="AA110" s="249"/>
      <c r="AB110" s="249"/>
      <c r="AC110" s="249"/>
      <c r="AD110" s="249"/>
      <c r="AE110" s="255">
        <f>IF(sim="","",IF(VOC="","",IF(IN="","",1)))</f>
        <v>1</v>
      </c>
      <c r="AF110" s="255">
        <f>IF(sim="","",IF(VOC="","",IF(IN="","",(sim+VOC+IN))))</f>
        <v>39</v>
      </c>
      <c r="AG110" s="255">
        <f>IF(sim="","",IF(VOC="","",IF(IN="","",3)))</f>
        <v>3</v>
      </c>
      <c r="AH110" s="258">
        <f>IF(AE110=1,(AF110/AG110),"")</f>
        <v>13</v>
      </c>
    </row>
    <row r="111" spans="2:34" ht="14.1" customHeight="1">
      <c r="I111" s="56" t="s">
        <v>141</v>
      </c>
      <c r="K111" s="143">
        <f>IF(T113=1,AH110,AA48)</f>
        <v>12.75</v>
      </c>
      <c r="L111" s="2" t="str">
        <f>"   based on "&amp;IF(T113=1,AG110,AA47)&amp;" subtests"</f>
        <v xml:space="preserve">   based on 4 subtests</v>
      </c>
      <c r="S111" s="249"/>
      <c r="T111" s="249"/>
      <c r="U111" s="249"/>
      <c r="V111" s="249"/>
      <c r="W111" s="249"/>
      <c r="X111" s="249"/>
      <c r="Y111" s="249"/>
      <c r="Z111" s="249"/>
      <c r="AA111" s="249"/>
      <c r="AB111" s="249"/>
      <c r="AC111" s="249"/>
      <c r="AD111" s="249"/>
      <c r="AE111" s="255">
        <f>IF(bd="","",IF(MR="","",1))</f>
        <v>1</v>
      </c>
      <c r="AF111" s="255">
        <f>IF(bd="","",IF(MR="","",IF(VP="","",(bd+MR+VP))))</f>
        <v>35</v>
      </c>
      <c r="AG111" s="255">
        <f>IF(bd="","",IF(MR="","",IF(VP="","",3)))</f>
        <v>3</v>
      </c>
      <c r="AH111" s="258">
        <f>IF(AE111=1,(AF111/AG111),"")</f>
        <v>11.666666666666666</v>
      </c>
    </row>
    <row r="112" spans="2:34" ht="14.1" customHeight="1">
      <c r="I112" s="56" t="s">
        <v>142</v>
      </c>
      <c r="K112" s="143">
        <f>IF(T113=1,AH111,AE48)</f>
        <v>12.2</v>
      </c>
      <c r="L112" s="2" t="str">
        <f>"   based on "&amp;IF(T113=1,AG111,AD47)&amp;" subtests"</f>
        <v xml:space="preserve">   based on 5 subtests</v>
      </c>
      <c r="S112" s="249"/>
      <c r="T112" s="249"/>
      <c r="U112" s="249"/>
      <c r="V112" s="249"/>
      <c r="W112" s="249"/>
      <c r="X112" s="249"/>
      <c r="Y112" s="249"/>
      <c r="Z112" s="249"/>
      <c r="AA112" s="249"/>
      <c r="AB112" s="249"/>
      <c r="AC112" s="249"/>
      <c r="AD112" s="249"/>
      <c r="AE112" s="255">
        <f>IF(DS="","",IF(AR="","",1))</f>
        <v>1</v>
      </c>
      <c r="AF112" s="255">
        <f>IF(DS="","",IF(AR="","",(DS+AR)))</f>
        <v>28</v>
      </c>
      <c r="AG112" s="255">
        <f>IF(DS="","",IF(AR="","",2))</f>
        <v>2</v>
      </c>
      <c r="AH112" s="258">
        <f>IF(AE112=1,(AF112/AG112),"")</f>
        <v>14</v>
      </c>
    </row>
    <row r="113" spans="2:37" ht="14.1" customHeight="1">
      <c r="I113" s="56" t="s">
        <v>143</v>
      </c>
      <c r="K113" s="143">
        <f>IF(T113=1,AH114,AI48)</f>
        <v>11.533333333333333</v>
      </c>
      <c r="L113" s="2" t="str">
        <f>"   based on "&amp;IF(T113=1,AG114,AI47)&amp;" subtests"</f>
        <v xml:space="preserve">   based on 15 subtests</v>
      </c>
      <c r="S113" s="249"/>
      <c r="T113" s="251">
        <v>2</v>
      </c>
      <c r="U113" s="249"/>
      <c r="V113" s="249"/>
      <c r="W113" s="249"/>
      <c r="X113" s="249"/>
      <c r="Y113" s="249"/>
      <c r="Z113" s="249"/>
      <c r="AA113" s="249"/>
      <c r="AB113" s="249"/>
      <c r="AC113" s="249"/>
      <c r="AD113" s="249"/>
      <c r="AE113" s="255">
        <f>IF(SS="","",IF(CD="","",1))</f>
        <v>1</v>
      </c>
      <c r="AF113" s="255">
        <f>IF(SS="","",IF(CD="","",(SS+CD)))</f>
        <v>15</v>
      </c>
      <c r="AG113" s="255">
        <f>IF(SS="","",IF(CD="","",2))</f>
        <v>2</v>
      </c>
      <c r="AH113" s="258">
        <f>IF(AE113=1,(AF113/AG113),"")</f>
        <v>7.5</v>
      </c>
      <c r="AI113" s="249"/>
      <c r="AJ113" s="249"/>
      <c r="AK113" s="249"/>
    </row>
    <row r="114" spans="2:37" ht="5.25" customHeight="1">
      <c r="S114" s="249"/>
      <c r="T114" s="249"/>
      <c r="U114" s="249"/>
      <c r="V114" s="249"/>
      <c r="W114" s="249"/>
      <c r="X114" s="249"/>
      <c r="Y114" s="249"/>
      <c r="Z114" s="249"/>
      <c r="AA114" s="249"/>
      <c r="AB114" s="249"/>
      <c r="AC114" s="249"/>
      <c r="AD114" s="249"/>
      <c r="AE114" s="249">
        <f>SUM(AE110:AE113)</f>
        <v>4</v>
      </c>
      <c r="AF114" s="249">
        <f>SUM(AF110:AF113)</f>
        <v>117</v>
      </c>
      <c r="AG114" s="249">
        <f>SUM(AG110:AG113)</f>
        <v>10</v>
      </c>
      <c r="AH114" s="258">
        <f>IF(AE114=4,(AF114/AG114),"")</f>
        <v>11.7</v>
      </c>
      <c r="AI114" s="249"/>
      <c r="AJ114" s="249"/>
      <c r="AK114" s="249"/>
    </row>
    <row r="115" spans="2:37" ht="14.1" customHeight="1">
      <c r="H115" s="315" t="s">
        <v>144</v>
      </c>
      <c r="I115" s="315"/>
      <c r="J115" s="315"/>
      <c r="K115" s="315"/>
      <c r="L115" s="315"/>
      <c r="N115" s="315" t="s">
        <v>145</v>
      </c>
      <c r="O115" s="315"/>
      <c r="P115" s="315"/>
      <c r="Q115" s="315"/>
      <c r="S115" s="249"/>
      <c r="T115" s="249"/>
      <c r="U115" s="249"/>
      <c r="V115" s="249"/>
      <c r="W115" s="249"/>
      <c r="X115" s="249"/>
      <c r="Y115" s="249"/>
      <c r="Z115" s="249"/>
      <c r="AA115" s="249"/>
      <c r="AB115" s="249"/>
      <c r="AC115" s="249"/>
      <c r="AD115" s="249"/>
      <c r="AE115" s="249"/>
      <c r="AF115" s="249"/>
      <c r="AG115" s="249"/>
      <c r="AH115" s="249"/>
      <c r="AI115" s="249"/>
      <c r="AJ115" s="249"/>
      <c r="AK115" s="249"/>
    </row>
    <row r="116" spans="2:37" ht="14.1" customHeight="1">
      <c r="F116" s="57" t="s">
        <v>12</v>
      </c>
      <c r="I116" s="57" t="s">
        <v>146</v>
      </c>
      <c r="K116" s="57" t="s">
        <v>147</v>
      </c>
      <c r="N116" s="57" t="s">
        <v>146</v>
      </c>
      <c r="P116" s="57" t="s">
        <v>147</v>
      </c>
      <c r="S116" s="249"/>
      <c r="T116" s="249"/>
      <c r="U116" s="249" t="s">
        <v>148</v>
      </c>
      <c r="V116" s="249" t="s">
        <v>149</v>
      </c>
      <c r="W116" s="249" t="s">
        <v>150</v>
      </c>
      <c r="X116" s="249" t="s">
        <v>149</v>
      </c>
      <c r="Y116" s="249"/>
      <c r="Z116" s="249"/>
      <c r="AA116" s="249"/>
      <c r="AB116" s="249"/>
      <c r="AC116" s="249"/>
      <c r="AD116" s="252" t="s">
        <v>151</v>
      </c>
      <c r="AE116" s="249"/>
      <c r="AF116" s="249"/>
      <c r="AG116" s="249"/>
      <c r="AH116" s="249"/>
      <c r="AI116" s="249"/>
      <c r="AJ116" s="249"/>
      <c r="AK116" s="249"/>
    </row>
    <row r="117" spans="2:37" ht="14.25" customHeight="1">
      <c r="B117" s="331" t="s">
        <v>152</v>
      </c>
      <c r="C117" s="331"/>
      <c r="D117" s="35" t="s">
        <v>153</v>
      </c>
      <c r="F117" s="171">
        <f>IF(F13="","",F13)</f>
        <v>16</v>
      </c>
      <c r="H117" s="35"/>
      <c r="I117" s="144">
        <v>1.91</v>
      </c>
      <c r="J117" s="145"/>
      <c r="K117" s="146">
        <f>IF(F117="","",(F117-$K$111))</f>
        <v>3.25</v>
      </c>
      <c r="L117" s="171" t="str">
        <f>IF(F117="","",IF(SUM(U117+V117)=4,"s",IF(SUM(U117+V117)=2,"w","")))</f>
        <v>s</v>
      </c>
      <c r="M117" s="35"/>
      <c r="N117" s="144">
        <f>IF(compmean=1,2.82,3.09)</f>
        <v>3.09</v>
      </c>
      <c r="O117" s="145"/>
      <c r="P117" s="146">
        <f>IF(N117="","",($F117-K$113))</f>
        <v>4.4666666666666668</v>
      </c>
      <c r="Q117" s="171" t="str">
        <f>IF(F117="","",IF(SUM(W117+X117)=4,"s",IF(SUM(W117+X117)=2,"w","")))</f>
        <v>s</v>
      </c>
      <c r="S117" s="249"/>
      <c r="T117" s="249"/>
      <c r="U117" s="249">
        <f>IF(ABS(K117)&gt;=I117,3,0)</f>
        <v>3</v>
      </c>
      <c r="V117" s="249">
        <f t="shared" ref="V117:V126" si="4">SIGN(K117)</f>
        <v>1</v>
      </c>
      <c r="W117" s="249">
        <f>IF(ABS(P117)&gt;=N117,3,0)</f>
        <v>3</v>
      </c>
      <c r="X117" s="249">
        <f>SIGN(P117)</f>
        <v>1</v>
      </c>
      <c r="Y117" s="249"/>
      <c r="Z117" s="249"/>
      <c r="AA117" s="249">
        <f>IF(W117=0,0,1)</f>
        <v>1</v>
      </c>
      <c r="AB117" s="249" t="str">
        <f>Q117</f>
        <v>s</v>
      </c>
      <c r="AC117" s="179" t="s">
        <v>154</v>
      </c>
      <c r="AD117" s="259">
        <v>3.0874942591039747</v>
      </c>
      <c r="AE117" s="249"/>
      <c r="AF117" s="249"/>
      <c r="AG117" s="249"/>
      <c r="AH117" s="249"/>
      <c r="AI117" s="249"/>
      <c r="AJ117" s="249"/>
      <c r="AK117" s="249"/>
    </row>
    <row r="118" spans="2:37" ht="14.25" customHeight="1">
      <c r="B118" s="331"/>
      <c r="C118" s="331"/>
      <c r="D118" s="35" t="s">
        <v>155</v>
      </c>
      <c r="F118" s="171">
        <f>IF(F16="","",F16)</f>
        <v>11</v>
      </c>
      <c r="H118" s="35"/>
      <c r="I118" s="144">
        <v>1.58</v>
      </c>
      <c r="J118" s="145"/>
      <c r="K118" s="146">
        <f>IF(F118="","",(F118-$K$111))</f>
        <v>-1.75</v>
      </c>
      <c r="L118" s="171" t="str">
        <f>IF(F118="","",IF(SUM(U118+V118)=4,"s",IF(SUM(U118+V118)=2,"w","")))</f>
        <v>w</v>
      </c>
      <c r="M118" s="35"/>
      <c r="N118" s="144">
        <f>IF(compmean=1,2.03,2.18)</f>
        <v>2.1800000000000002</v>
      </c>
      <c r="O118" s="145"/>
      <c r="P118" s="146">
        <f>IF(N118="","",($F118-K$113))</f>
        <v>-0.53333333333333321</v>
      </c>
      <c r="Q118" s="171" t="str">
        <f>IF(F118="","",IF(SUM(W118+X118)=4,"s",IF(SUM(W118+X118)=2,"w","")))</f>
        <v/>
      </c>
      <c r="S118" s="249"/>
      <c r="T118" s="249"/>
      <c r="U118" s="249">
        <f t="shared" ref="U118:U126" si="5">IF(ABS(K118)&gt;=I118,3,0)</f>
        <v>3</v>
      </c>
      <c r="V118" s="249">
        <f t="shared" si="4"/>
        <v>-1</v>
      </c>
      <c r="W118" s="249">
        <f t="shared" ref="W118:W134" si="6">IF(ABS(P118)&gt;=N118,3,0)</f>
        <v>0</v>
      </c>
      <c r="X118" s="249">
        <f t="shared" ref="X118:X134" si="7">SIGN(P118)</f>
        <v>-1</v>
      </c>
      <c r="Y118" s="249"/>
      <c r="Z118" s="249"/>
      <c r="AA118" s="249">
        <f t="shared" ref="AA118:AA132" si="8">IF(W118=0,0,1)</f>
        <v>0</v>
      </c>
      <c r="AB118" s="249" t="str">
        <f>Q118</f>
        <v/>
      </c>
      <c r="AC118" s="179" t="s">
        <v>153</v>
      </c>
      <c r="AD118" s="259">
        <v>3.0874942591039747</v>
      </c>
      <c r="AE118" s="249"/>
      <c r="AF118" s="249"/>
      <c r="AG118" s="249"/>
      <c r="AH118" s="249"/>
      <c r="AI118" s="249"/>
      <c r="AJ118" s="249"/>
      <c r="AK118" s="249"/>
    </row>
    <row r="119" spans="2:37" ht="14.25" customHeight="1">
      <c r="B119" s="331"/>
      <c r="C119" s="331"/>
      <c r="D119" s="35" t="s">
        <v>156</v>
      </c>
      <c r="F119" s="171">
        <f>IF(F20="","",F20)</f>
        <v>12</v>
      </c>
      <c r="H119" s="35"/>
      <c r="I119" s="144">
        <v>1.64</v>
      </c>
      <c r="J119" s="145"/>
      <c r="K119" s="146">
        <f>IF(F119="","",(F119-$K$111))</f>
        <v>-0.75</v>
      </c>
      <c r="L119" s="171" t="str">
        <f>IF(F119="","",IF(SUM(U119+V119)=4,"s",IF(SUM(U119+V119)=2,"w","")))</f>
        <v/>
      </c>
      <c r="M119" s="35"/>
      <c r="N119" s="144">
        <f>IF(compmean=1,2.19,2.33)</f>
        <v>2.33</v>
      </c>
      <c r="O119" s="145"/>
      <c r="P119" s="146">
        <f>IF(N119="","",($F119-K$113))</f>
        <v>0.46666666666666679</v>
      </c>
      <c r="Q119" s="171" t="str">
        <f>IF(F119="","",IF(SUM(W119+X119)=4,"s",IF(SUM(W119+X119)=2,"w","")))</f>
        <v/>
      </c>
      <c r="S119" s="249"/>
      <c r="T119" s="249"/>
      <c r="U119" s="249">
        <f t="shared" si="5"/>
        <v>0</v>
      </c>
      <c r="V119" s="249">
        <f t="shared" si="4"/>
        <v>-1</v>
      </c>
      <c r="W119" s="249">
        <f t="shared" si="6"/>
        <v>0</v>
      </c>
      <c r="X119" s="249">
        <f t="shared" si="7"/>
        <v>1</v>
      </c>
      <c r="Y119" s="249"/>
      <c r="Z119" s="249"/>
      <c r="AA119" s="249">
        <f t="shared" si="8"/>
        <v>0</v>
      </c>
      <c r="AB119" s="249" t="str">
        <f>Q119</f>
        <v/>
      </c>
      <c r="AC119" s="179" t="s">
        <v>157</v>
      </c>
      <c r="AD119" s="259">
        <v>2.3307063307074953</v>
      </c>
      <c r="AE119" s="249"/>
      <c r="AF119" s="249" t="e">
        <f>LOOKUP(#REF!,R369:W369,R370:W370)</f>
        <v>#REF!</v>
      </c>
      <c r="AG119" s="249" t="e">
        <f>LOOKUP(#REF!,R371:W371,R372:W372)</f>
        <v>#REF!</v>
      </c>
      <c r="AH119" s="249" t="e">
        <f>LOOKUP(#REF!,R373:W373,R374:W374)</f>
        <v>#REF!</v>
      </c>
      <c r="AI119" s="249" t="e">
        <f>LOOKUP(#REF!,R375:W375,R376:W376)</f>
        <v>#REF!</v>
      </c>
      <c r="AJ119" s="249" t="e">
        <f>LOOKUP(#REF!,R377:W377,R378:W378)</f>
        <v>#REF!</v>
      </c>
      <c r="AK119" s="249" t="e">
        <f>CHOOSE(AJ53,AF119,AG119,AH119,AI119,AJ119)</f>
        <v>#VALUE!</v>
      </c>
    </row>
    <row r="120" spans="2:37" ht="14.25" customHeight="1">
      <c r="B120" s="331"/>
      <c r="C120" s="331"/>
      <c r="D120" s="141" t="s">
        <v>158</v>
      </c>
      <c r="F120" s="171">
        <f>IF(F24="","",F24)</f>
        <v>12</v>
      </c>
      <c r="H120" s="35"/>
      <c r="I120" s="144">
        <f>IF(OR(F120="",T113=1),"",IF($AB$47&lt;3,"",2))</f>
        <v>2</v>
      </c>
      <c r="J120" s="145"/>
      <c r="K120" s="146">
        <f>IF(OR(F120="",T113=1),"",F120-$K$111)</f>
        <v>-0.75</v>
      </c>
      <c r="L120" s="171" t="str">
        <f>IF(OR(F120="",T113=1),"",IF(SUM(U120+V120)=4,"s",IF(SUM(U120+V120)=2,"w","")))</f>
        <v/>
      </c>
      <c r="M120" s="35"/>
      <c r="N120" s="144">
        <f>IF(OR(F120="",compmean=1),"",IF($AI$47&lt;7,"",3.09))</f>
        <v>3.09</v>
      </c>
      <c r="O120" s="145"/>
      <c r="P120" s="146">
        <f>IF(OR(F120="",T113=1),"",($F120-K$113))</f>
        <v>0.46666666666666679</v>
      </c>
      <c r="Q120" s="171" t="str">
        <f>IF(OR(F120="",T113=1),"",IF(SUM(W120+X120)=4,"s",IF(SUM(W120+X120)=2,"w","")))</f>
        <v/>
      </c>
      <c r="S120" s="249"/>
      <c r="T120" s="249"/>
      <c r="U120" s="249">
        <f t="shared" si="5"/>
        <v>0</v>
      </c>
      <c r="V120" s="249">
        <f t="shared" si="4"/>
        <v>-1</v>
      </c>
      <c r="W120" s="249">
        <f t="shared" si="6"/>
        <v>0</v>
      </c>
      <c r="X120" s="249">
        <f t="shared" si="7"/>
        <v>1</v>
      </c>
      <c r="Y120" s="249"/>
      <c r="Z120" s="249"/>
      <c r="AA120" s="249">
        <f t="shared" si="8"/>
        <v>0</v>
      </c>
      <c r="AB120" s="249" t="str">
        <f>Q120</f>
        <v/>
      </c>
      <c r="AC120" s="179" t="s">
        <v>159</v>
      </c>
      <c r="AD120" s="259">
        <v>2.7353987643486275</v>
      </c>
      <c r="AE120" s="249"/>
      <c r="AF120" s="249" t="e">
        <f>LOOKUP(#REF!,D369:I369,D370:I370)</f>
        <v>#REF!</v>
      </c>
      <c r="AG120" s="249" t="e">
        <f>LOOKUP(#REF!,D371:I371,D372:I372)</f>
        <v>#REF!</v>
      </c>
      <c r="AH120" s="249" t="e">
        <f>LOOKUP(#REF!,D373:I373,D374:I374)</f>
        <v>#REF!</v>
      </c>
      <c r="AI120" s="249" t="e">
        <f>LOOKUP(#REF!,D375:I375,D376:I376)</f>
        <v>#REF!</v>
      </c>
      <c r="AJ120" s="249" t="e">
        <f>LOOKUP(#REF!,D377:I377,D378:I378)</f>
        <v>#REF!</v>
      </c>
      <c r="AK120" s="249" t="e">
        <f>CHOOSE(AJ53,AF120,AG120,AH120,AI120,AJ120)</f>
        <v>#VALUE!</v>
      </c>
    </row>
    <row r="121" spans="2:37" ht="3.75" customHeight="1">
      <c r="B121" s="331"/>
      <c r="C121" s="331"/>
      <c r="D121" s="61"/>
      <c r="E121" s="61"/>
      <c r="F121" s="61"/>
      <c r="G121" s="61"/>
      <c r="H121" s="61"/>
      <c r="I121" s="61"/>
      <c r="J121" s="61"/>
      <c r="K121" s="61"/>
      <c r="L121" s="61"/>
      <c r="M121" s="61"/>
      <c r="N121" s="61"/>
      <c r="O121" s="61"/>
      <c r="P121" s="61"/>
      <c r="Q121" s="61"/>
      <c r="S121" s="249"/>
      <c r="T121" s="249"/>
      <c r="U121" s="249"/>
      <c r="V121" s="249"/>
      <c r="W121" s="249"/>
      <c r="X121" s="249"/>
      <c r="Y121" s="249"/>
      <c r="Z121" s="249"/>
      <c r="AA121" s="249"/>
      <c r="AB121" s="249"/>
      <c r="AC121" s="179" t="s">
        <v>155</v>
      </c>
      <c r="AD121" s="259">
        <v>2.1791712186058265</v>
      </c>
      <c r="AE121" s="249"/>
      <c r="AF121" s="249" t="e">
        <f>LOOKUP(#REF!,K369:P369,K370:P370)</f>
        <v>#REF!</v>
      </c>
      <c r="AG121" s="249" t="e">
        <f>LOOKUP(#REF!,K371:P371,K372:P372)</f>
        <v>#REF!</v>
      </c>
      <c r="AH121" s="249" t="e">
        <f>LOOKUP(#REF!,K373:P373,K374:P374)</f>
        <v>#REF!</v>
      </c>
      <c r="AI121" s="249" t="e">
        <f>LOOKUP(#REF!,K375:P375,K376:P376)</f>
        <v>#REF!</v>
      </c>
      <c r="AJ121" s="249" t="e">
        <f>LOOKUP(#REF!,K377:P377,K378:P378)</f>
        <v>#REF!</v>
      </c>
      <c r="AK121" s="249" t="e">
        <f>CHOOSE(AJ53,AF121,AG121,AH121,AI121,AJ121)</f>
        <v>#VALUE!</v>
      </c>
    </row>
    <row r="122" spans="2:37" ht="14.25" customHeight="1">
      <c r="B122" s="60"/>
      <c r="C122" s="60"/>
      <c r="D122" s="35" t="s">
        <v>154</v>
      </c>
      <c r="F122" s="171">
        <f>IF(F12="","",F12)</f>
        <v>10</v>
      </c>
      <c r="H122" s="35"/>
      <c r="I122" s="144">
        <v>2.0499999999999998</v>
      </c>
      <c r="J122" s="145"/>
      <c r="K122" s="146">
        <f>IF(F122="","",(F122-$K$112))</f>
        <v>-2.1999999999999993</v>
      </c>
      <c r="L122" s="171" t="str">
        <f>IF(F122="","",IF(SUM(U122+V122)=4,"s",IF(SUM(U122+V122)=2,"w","")))</f>
        <v>w</v>
      </c>
      <c r="M122" s="35"/>
      <c r="N122" s="144">
        <f>IF(compmean=1,2.85,3.09)</f>
        <v>3.09</v>
      </c>
      <c r="O122" s="145"/>
      <c r="P122" s="146">
        <f>IF(N122="","",($F122-K$113))</f>
        <v>-1.5333333333333332</v>
      </c>
      <c r="Q122" s="171" t="str">
        <f>IF(F122="","",IF(SUM(W122+X122)=4,"s",IF(SUM(W122+X122)=2,"w","")))</f>
        <v/>
      </c>
      <c r="S122" s="249"/>
      <c r="T122" s="249"/>
      <c r="U122" s="249">
        <f t="shared" si="5"/>
        <v>3</v>
      </c>
      <c r="V122" s="249">
        <f t="shared" si="4"/>
        <v>-1</v>
      </c>
      <c r="W122" s="249">
        <f t="shared" si="6"/>
        <v>0</v>
      </c>
      <c r="X122" s="249">
        <f t="shared" si="7"/>
        <v>-1</v>
      </c>
      <c r="Y122" s="249"/>
      <c r="Z122" s="249"/>
      <c r="AA122" s="249">
        <f t="shared" si="8"/>
        <v>0</v>
      </c>
      <c r="AB122" s="249" t="str">
        <f>Q122</f>
        <v/>
      </c>
      <c r="AC122" s="179" t="s">
        <v>160</v>
      </c>
      <c r="AD122" s="259">
        <v>2.9747631838517838</v>
      </c>
      <c r="AE122" s="249"/>
      <c r="AF122" s="249"/>
      <c r="AG122" s="249"/>
      <c r="AH122" s="249"/>
      <c r="AI122" s="249"/>
      <c r="AJ122" s="249"/>
      <c r="AK122" s="249"/>
    </row>
    <row r="123" spans="2:37" ht="14.25" customHeight="1">
      <c r="B123" s="331" t="s">
        <v>161</v>
      </c>
      <c r="C123" s="331"/>
      <c r="D123" s="35" t="s">
        <v>159</v>
      </c>
      <c r="F123" s="171">
        <f>IF(F15="","",F15)</f>
        <v>16</v>
      </c>
      <c r="H123" s="35"/>
      <c r="I123" s="144">
        <v>1.92</v>
      </c>
      <c r="J123" s="145"/>
      <c r="K123" s="146">
        <f>IF(F123="","",(F123-$K$112))</f>
        <v>3.8000000000000007</v>
      </c>
      <c r="L123" s="171" t="str">
        <f>IF(F123="","",IF(SUM(U123+V123)=4,"s",IF(SUM(U123+V123)=2,"w","")))</f>
        <v>s</v>
      </c>
      <c r="M123" s="35"/>
      <c r="N123" s="144">
        <f>IF(compmean=1,2.54,2.74)</f>
        <v>2.74</v>
      </c>
      <c r="O123" s="145"/>
      <c r="P123" s="146">
        <f>IF(N123="","",($F123-K$113))</f>
        <v>4.4666666666666668</v>
      </c>
      <c r="Q123" s="171" t="str">
        <f>IF(F123="","",IF(SUM(W123+X123)=4,"s",IF(SUM(W123+X123)=2,"w","")))</f>
        <v>s</v>
      </c>
      <c r="S123" s="249"/>
      <c r="T123" s="249"/>
      <c r="U123" s="249">
        <f t="shared" si="5"/>
        <v>3</v>
      </c>
      <c r="V123" s="249">
        <f t="shared" si="4"/>
        <v>1</v>
      </c>
      <c r="W123" s="249">
        <f t="shared" si="6"/>
        <v>3</v>
      </c>
      <c r="X123" s="249">
        <f t="shared" si="7"/>
        <v>1</v>
      </c>
      <c r="Y123" s="249"/>
      <c r="Z123" s="249"/>
      <c r="AA123" s="249">
        <f t="shared" si="8"/>
        <v>1</v>
      </c>
      <c r="AB123" s="249" t="str">
        <f>Q123</f>
        <v>s</v>
      </c>
      <c r="AC123" s="179" t="s">
        <v>162</v>
      </c>
      <c r="AD123" s="259">
        <v>3.6922959794686014</v>
      </c>
      <c r="AE123" s="249"/>
      <c r="AF123" s="249"/>
      <c r="AG123" s="249"/>
      <c r="AH123" s="249"/>
      <c r="AI123" s="249"/>
      <c r="AJ123" s="249"/>
      <c r="AK123" s="249"/>
    </row>
    <row r="124" spans="2:37" ht="14.25" customHeight="1">
      <c r="B124" s="331"/>
      <c r="C124" s="331"/>
      <c r="D124" s="35" t="s">
        <v>163</v>
      </c>
      <c r="F124" s="171">
        <f>IF(F19="","",F19)</f>
        <v>9</v>
      </c>
      <c r="H124" s="35"/>
      <c r="I124" s="144">
        <v>1.99</v>
      </c>
      <c r="J124" s="145"/>
      <c r="K124" s="146">
        <f>IF(F124="","",(F124-$K$112))</f>
        <v>-3.1999999999999993</v>
      </c>
      <c r="L124" s="171" t="str">
        <f>IF(F124="","",IF(SUM(U124+V124)=4,"s",IF(SUM(U124+V124)=2,"w","")))</f>
        <v>w</v>
      </c>
      <c r="M124" s="35"/>
      <c r="N124" s="144">
        <f>IF(compmean=1,2.71,2.86)</f>
        <v>2.86</v>
      </c>
      <c r="O124" s="145"/>
      <c r="P124" s="146">
        <f>IF(N124="","",($F124-K$113))</f>
        <v>-2.5333333333333332</v>
      </c>
      <c r="Q124" s="171" t="str">
        <f>IF(F124="","",IF(SUM(W124+X124)=4,"s",IF(SUM(W124+X124)=2,"w","")))</f>
        <v/>
      </c>
      <c r="S124" s="249"/>
      <c r="T124" s="249"/>
      <c r="U124" s="249">
        <f t="shared" si="5"/>
        <v>3</v>
      </c>
      <c r="V124" s="249">
        <f t="shared" si="4"/>
        <v>-1</v>
      </c>
      <c r="W124" s="249">
        <f t="shared" si="6"/>
        <v>0</v>
      </c>
      <c r="X124" s="249">
        <f t="shared" si="7"/>
        <v>-1</v>
      </c>
      <c r="Y124" s="249"/>
      <c r="Z124" s="249"/>
      <c r="AA124" s="249">
        <f t="shared" si="8"/>
        <v>0</v>
      </c>
      <c r="AB124" s="249" t="str">
        <f>Q124</f>
        <v/>
      </c>
      <c r="AC124" s="179" t="s">
        <v>163</v>
      </c>
      <c r="AD124" s="259">
        <v>2.8575883538396498</v>
      </c>
      <c r="AE124" s="249"/>
      <c r="AF124" s="249"/>
      <c r="AG124" s="249"/>
      <c r="AH124" s="249"/>
      <c r="AI124" s="249"/>
      <c r="AJ124" s="249"/>
      <c r="AK124" s="249"/>
    </row>
    <row r="125" spans="2:37" ht="14.25" customHeight="1">
      <c r="B125" s="331"/>
      <c r="C125" s="331"/>
      <c r="D125" s="141" t="s">
        <v>164</v>
      </c>
      <c r="F125" s="171">
        <f>IF(F23="","",F23)</f>
        <v>16</v>
      </c>
      <c r="H125" s="35"/>
      <c r="I125" s="144">
        <f>IF(OR(F125="",T113=1),"",IF($AB$47&lt;3,"",2))</f>
        <v>2</v>
      </c>
      <c r="J125" s="145"/>
      <c r="K125" s="146">
        <f>IF(OR(F125="",T113=1),"",(F125-$K$112))</f>
        <v>3.8000000000000007</v>
      </c>
      <c r="L125" s="171" t="str">
        <f>IF(OR(F125="",T113=1),"",IF(SUM(U125+V125)=4,"s",IF(SUM(U125+V125)=2,"w","")))</f>
        <v>s</v>
      </c>
      <c r="M125" s="35"/>
      <c r="N125" s="144">
        <f>IF(OR(F125="",T113=1),"",IF($AI$47&lt;7,"",2.74))</f>
        <v>2.74</v>
      </c>
      <c r="O125" s="145"/>
      <c r="P125" s="146">
        <f>IF(OR(F125="",T113=1),"",($F125-K$113))</f>
        <v>4.4666666666666668</v>
      </c>
      <c r="Q125" s="171" t="str">
        <f>IF(OR(F125="",T113=1),"",IF(SUM(W125+X125)=4,"s",IF(SUM(W125+X125)=2,"w","")))</f>
        <v>s</v>
      </c>
      <c r="S125" s="249"/>
      <c r="T125" s="249"/>
      <c r="U125" s="249">
        <f t="shared" si="5"/>
        <v>3</v>
      </c>
      <c r="V125" s="249">
        <f t="shared" si="4"/>
        <v>1</v>
      </c>
      <c r="W125" s="249">
        <f t="shared" si="6"/>
        <v>3</v>
      </c>
      <c r="X125" s="249">
        <f t="shared" si="7"/>
        <v>1</v>
      </c>
      <c r="Y125" s="249"/>
      <c r="Z125" s="249"/>
      <c r="AA125" s="249">
        <f t="shared" si="8"/>
        <v>1</v>
      </c>
      <c r="AB125" s="249" t="str">
        <f>Q125</f>
        <v>s</v>
      </c>
      <c r="AC125" s="179" t="s">
        <v>156</v>
      </c>
      <c r="AD125" s="259">
        <v>2.3307063307074953</v>
      </c>
      <c r="AE125" s="249"/>
      <c r="AF125" s="249"/>
      <c r="AG125" s="249"/>
      <c r="AH125" s="249"/>
      <c r="AI125" s="249"/>
      <c r="AJ125" s="249"/>
      <c r="AK125" s="249"/>
    </row>
    <row r="126" spans="2:37" ht="14.25" customHeight="1">
      <c r="B126" s="331"/>
      <c r="C126" s="331"/>
      <c r="D126" s="141" t="s">
        <v>165</v>
      </c>
      <c r="F126" s="171">
        <f>IF(F26="","",F26)</f>
        <v>10</v>
      </c>
      <c r="H126" s="35"/>
      <c r="I126" s="144">
        <f>IF(OR(F126="",T113=1),"",IF($AB$47&lt;3,"",2))</f>
        <v>2</v>
      </c>
      <c r="J126" s="145"/>
      <c r="K126" s="146">
        <f>IF(OR(F126="",T113=1),"",(F126-$K$112))</f>
        <v>-2.1999999999999993</v>
      </c>
      <c r="L126" s="171" t="str">
        <f>IF(OR(F126="",T113=1),"",IF(SUM(U126+V126)=4,"s",IF(SUM(U126+V126)=2,"w","")))</f>
        <v>w</v>
      </c>
      <c r="M126" s="35"/>
      <c r="N126" s="144">
        <f>IF(OR(F126="",T113=1),"",IF($AI$47&lt;7,"",3.4))</f>
        <v>3.4</v>
      </c>
      <c r="O126" s="145"/>
      <c r="P126" s="146">
        <f>IF(OR(F126="",T113=1),"",($F126-K$113))</f>
        <v>-1.5333333333333332</v>
      </c>
      <c r="Q126" s="171" t="str">
        <f>IF(OR(F126="",T113=1),"",IF(SUM(W126+X126)=4,"s",IF(SUM(W126+X126)=2,"w","")))</f>
        <v/>
      </c>
      <c r="S126" s="249"/>
      <c r="T126" s="249"/>
      <c r="U126" s="249">
        <f t="shared" si="5"/>
        <v>3</v>
      </c>
      <c r="V126" s="249">
        <f t="shared" si="4"/>
        <v>-1</v>
      </c>
      <c r="W126" s="249">
        <f t="shared" si="6"/>
        <v>0</v>
      </c>
      <c r="X126" s="249">
        <f t="shared" si="7"/>
        <v>-1</v>
      </c>
      <c r="Y126" s="249"/>
      <c r="Z126" s="249"/>
      <c r="AA126" s="249">
        <f t="shared" si="8"/>
        <v>0</v>
      </c>
      <c r="AB126" s="249" t="str">
        <f>Q126</f>
        <v/>
      </c>
      <c r="AC126" s="179" t="s">
        <v>166</v>
      </c>
      <c r="AD126" s="259">
        <v>3.1962518048489237</v>
      </c>
      <c r="AE126" s="249"/>
      <c r="AF126" s="249"/>
      <c r="AG126" s="249"/>
      <c r="AH126" s="249"/>
      <c r="AI126" s="249"/>
      <c r="AJ126" s="249"/>
      <c r="AK126" s="249"/>
    </row>
    <row r="127" spans="2:37" ht="4.5" customHeight="1">
      <c r="B127" s="331"/>
      <c r="C127" s="331"/>
      <c r="D127" s="61"/>
      <c r="E127" s="61"/>
      <c r="F127" s="61"/>
      <c r="G127" s="61"/>
      <c r="H127" s="61"/>
      <c r="I127" s="61"/>
      <c r="J127" s="61"/>
      <c r="K127" s="61"/>
      <c r="L127" s="61"/>
      <c r="M127" s="61"/>
      <c r="N127" s="61"/>
      <c r="O127" s="61"/>
      <c r="P127" s="61"/>
      <c r="Q127" s="61"/>
      <c r="S127" s="249"/>
      <c r="T127" s="249"/>
      <c r="U127" s="249"/>
      <c r="V127" s="249"/>
      <c r="W127" s="249"/>
      <c r="X127" s="249"/>
      <c r="Y127" s="249"/>
      <c r="Z127" s="249"/>
      <c r="AA127" s="249"/>
      <c r="AB127" s="249" t="str">
        <f>Q129</f>
        <v>s</v>
      </c>
      <c r="AC127" s="180" t="s">
        <v>167</v>
      </c>
      <c r="AD127" s="259">
        <v>2.9747631838517838</v>
      </c>
      <c r="AE127" s="249"/>
      <c r="AF127" s="249"/>
      <c r="AG127" s="249"/>
      <c r="AH127" s="249"/>
      <c r="AI127" s="249"/>
      <c r="AJ127" s="249"/>
      <c r="AK127" s="249"/>
    </row>
    <row r="128" spans="2:37" ht="13.5" customHeight="1">
      <c r="B128" s="331" t="s">
        <v>15</v>
      </c>
      <c r="C128" s="331"/>
      <c r="D128" s="2" t="s">
        <v>157</v>
      </c>
      <c r="E128" s="60"/>
      <c r="F128" s="171">
        <f>IF(F14="","",F14)</f>
        <v>12</v>
      </c>
      <c r="G128" s="60"/>
      <c r="H128" s="60"/>
      <c r="I128" s="60"/>
      <c r="J128" s="60"/>
      <c r="K128" s="60"/>
      <c r="L128" s="60"/>
      <c r="M128" s="60"/>
      <c r="N128" s="144">
        <f>IF(compmean=1,2.22,2.33)</f>
        <v>2.33</v>
      </c>
      <c r="O128" s="145"/>
      <c r="P128" s="146">
        <f>IF(N128="","",($F128-K$113))</f>
        <v>0.46666666666666679</v>
      </c>
      <c r="Q128" s="171" t="str">
        <f t="shared" ref="Q128:Q133" si="9">IF(F128="","",IF(SUM(W128+X128)=4,"s",IF(SUM(W128+X128)=2,"w","")))</f>
        <v/>
      </c>
      <c r="S128" s="249"/>
      <c r="T128" s="249"/>
      <c r="U128" s="249"/>
      <c r="V128" s="249"/>
      <c r="W128" s="249">
        <f t="shared" si="6"/>
        <v>0</v>
      </c>
      <c r="X128" s="249">
        <f t="shared" si="7"/>
        <v>1</v>
      </c>
      <c r="Y128" s="249"/>
      <c r="Z128" s="249"/>
      <c r="AA128" s="249">
        <f>IF(W128=0,0,1)</f>
        <v>0</v>
      </c>
      <c r="AB128" s="249"/>
      <c r="AC128" s="180" t="s">
        <v>164</v>
      </c>
      <c r="AD128" s="259">
        <v>2.7353987643486275</v>
      </c>
      <c r="AE128" s="249"/>
      <c r="AF128" s="249"/>
      <c r="AG128" s="249"/>
      <c r="AH128" s="249"/>
      <c r="AI128" s="249"/>
      <c r="AJ128" s="249"/>
      <c r="AK128" s="249"/>
    </row>
    <row r="129" spans="2:39" ht="13.9" customHeight="1">
      <c r="B129" s="331"/>
      <c r="C129" s="331"/>
      <c r="D129" s="2" t="s">
        <v>160</v>
      </c>
      <c r="F129" s="171">
        <f>IF(F17="","",F17)</f>
        <v>16</v>
      </c>
      <c r="H129" s="35"/>
      <c r="I129" s="58"/>
      <c r="J129" s="35"/>
      <c r="K129" s="59"/>
      <c r="L129" s="171"/>
      <c r="M129" s="35"/>
      <c r="N129" s="144">
        <f>IF(compmean=1,2.73,2.97)</f>
        <v>2.97</v>
      </c>
      <c r="O129" s="145"/>
      <c r="P129" s="146">
        <f>IF(N129="","",($F129-K$113))</f>
        <v>4.4666666666666668</v>
      </c>
      <c r="Q129" s="171" t="str">
        <f t="shared" si="9"/>
        <v>s</v>
      </c>
      <c r="S129" s="249"/>
      <c r="T129" s="249"/>
      <c r="U129" s="249"/>
      <c r="V129" s="249"/>
      <c r="W129" s="249">
        <f t="shared" si="6"/>
        <v>3</v>
      </c>
      <c r="X129" s="249">
        <f t="shared" si="7"/>
        <v>1</v>
      </c>
      <c r="Y129" s="249"/>
      <c r="Z129" s="249"/>
      <c r="AA129" s="249">
        <f>IF(W129=0,0,1)</f>
        <v>1</v>
      </c>
      <c r="AB129" s="249" t="str">
        <f>Q130</f>
        <v/>
      </c>
      <c r="AC129" s="180" t="s">
        <v>158</v>
      </c>
      <c r="AD129" s="259">
        <v>3.0874942591039747</v>
      </c>
      <c r="AE129" s="252"/>
      <c r="AF129" s="252"/>
      <c r="AG129" s="252"/>
      <c r="AH129" s="252"/>
      <c r="AI129" s="252"/>
      <c r="AJ129" s="252"/>
      <c r="AK129" s="252"/>
      <c r="AL129" s="252"/>
      <c r="AM129" s="252"/>
    </row>
    <row r="130" spans="2:39" ht="13.9" customHeight="1">
      <c r="B130" s="331"/>
      <c r="C130" s="331"/>
      <c r="D130" s="142" t="s">
        <v>167</v>
      </c>
      <c r="F130" s="171">
        <f>IF(F22="","",F22)</f>
        <v>11</v>
      </c>
      <c r="H130" s="35"/>
      <c r="I130" s="58"/>
      <c r="J130" s="35"/>
      <c r="K130" s="59"/>
      <c r="L130" s="171" t="str">
        <f>IF(F130="","",IF(SUM(U129+V129)=4,"s",IF(SUM(U129+V129)=2,"w","")))</f>
        <v/>
      </c>
      <c r="M130" s="35"/>
      <c r="N130" s="144">
        <f>IF(OR(F130="",T113=1),"",IF($AI$47&lt;7,"",2.97))</f>
        <v>2.97</v>
      </c>
      <c r="O130" s="145"/>
      <c r="P130" s="146">
        <f>IF(OR(F130="",T113=1),"",($F130-K$113))</f>
        <v>-0.53333333333333321</v>
      </c>
      <c r="Q130" s="171" t="str">
        <f>IF(OR(F130="",T113=1),"",IF(SUM(W130+X130)=4,"s",IF(SUM(W130+X130)=2,"w","")))</f>
        <v/>
      </c>
      <c r="S130" s="249"/>
      <c r="T130" s="249"/>
      <c r="U130" s="249"/>
      <c r="V130" s="249"/>
      <c r="W130" s="249">
        <f t="shared" si="6"/>
        <v>0</v>
      </c>
      <c r="X130" s="249">
        <f t="shared" si="7"/>
        <v>-1</v>
      </c>
      <c r="Y130" s="249"/>
      <c r="Z130" s="249"/>
      <c r="AA130" s="249">
        <f t="shared" si="8"/>
        <v>0</v>
      </c>
      <c r="AB130" s="249"/>
      <c r="AC130" s="180" t="s">
        <v>168</v>
      </c>
      <c r="AD130" s="259">
        <v>3.9602100954368566</v>
      </c>
      <c r="AE130" s="252"/>
      <c r="AF130" s="252"/>
      <c r="AG130" s="252"/>
      <c r="AH130" s="252"/>
      <c r="AI130" s="252"/>
      <c r="AJ130" s="252"/>
      <c r="AK130" s="252"/>
      <c r="AL130" s="252"/>
      <c r="AM130" s="252"/>
    </row>
    <row r="131" spans="2:39" ht="3.75" customHeight="1">
      <c r="B131" s="62"/>
      <c r="C131" s="62"/>
      <c r="D131" s="61"/>
      <c r="E131" s="61"/>
      <c r="F131" s="61"/>
      <c r="H131" s="35"/>
      <c r="I131" s="58"/>
      <c r="J131" s="35"/>
      <c r="K131" s="59"/>
      <c r="L131" s="35"/>
      <c r="M131" s="35"/>
      <c r="N131" s="140"/>
      <c r="O131" s="25"/>
      <c r="P131" s="25"/>
      <c r="Q131" s="25"/>
      <c r="S131" s="249"/>
      <c r="T131" s="249"/>
      <c r="U131" s="249"/>
      <c r="V131" s="249"/>
      <c r="W131" s="249"/>
      <c r="X131" s="249"/>
      <c r="Y131" s="249"/>
      <c r="Z131" s="249"/>
      <c r="AA131" s="249"/>
      <c r="AB131" s="249"/>
      <c r="AC131" s="180" t="s">
        <v>165</v>
      </c>
      <c r="AD131" s="259">
        <v>3.4033564609073799</v>
      </c>
      <c r="AE131" s="252"/>
      <c r="AF131" s="252"/>
      <c r="AG131" s="252"/>
      <c r="AH131" s="252"/>
      <c r="AI131" s="252"/>
      <c r="AJ131" s="252"/>
      <c r="AK131" s="252"/>
      <c r="AL131" s="252"/>
      <c r="AM131" s="252"/>
    </row>
    <row r="132" spans="2:39" ht="13.9" customHeight="1">
      <c r="B132" s="342" t="s">
        <v>169</v>
      </c>
      <c r="C132" s="342"/>
      <c r="D132" s="35" t="s">
        <v>170</v>
      </c>
      <c r="F132" s="171">
        <f>IF(F18="","",F18)</f>
        <v>10</v>
      </c>
      <c r="H132" s="35"/>
      <c r="I132" s="58"/>
      <c r="J132" s="35"/>
      <c r="K132" s="59"/>
      <c r="L132" s="37"/>
      <c r="M132" s="35"/>
      <c r="N132" s="144">
        <f>IF(compmean=1,3.42,3.69)</f>
        <v>3.69</v>
      </c>
      <c r="O132" s="145"/>
      <c r="P132" s="146">
        <f>IF(N132="","",($F132-K$113))</f>
        <v>-1.5333333333333332</v>
      </c>
      <c r="Q132" s="171" t="str">
        <f t="shared" si="9"/>
        <v/>
      </c>
      <c r="S132" s="249"/>
      <c r="T132" s="249"/>
      <c r="U132" s="249"/>
      <c r="V132" s="249"/>
      <c r="W132" s="249">
        <f t="shared" si="6"/>
        <v>0</v>
      </c>
      <c r="X132" s="249">
        <f t="shared" si="7"/>
        <v>-1</v>
      </c>
      <c r="Y132" s="249"/>
      <c r="Z132" s="249"/>
      <c r="AA132" s="249">
        <f t="shared" si="8"/>
        <v>0</v>
      </c>
      <c r="AB132" s="249"/>
      <c r="AC132" s="252"/>
      <c r="AD132" s="252"/>
      <c r="AE132" s="252"/>
      <c r="AF132" s="252"/>
      <c r="AG132" s="252"/>
      <c r="AH132" s="252"/>
      <c r="AI132" s="252"/>
      <c r="AJ132" s="252"/>
      <c r="AK132" s="252"/>
      <c r="AL132" s="252"/>
      <c r="AM132" s="252"/>
    </row>
    <row r="133" spans="2:39" ht="13.9" customHeight="1">
      <c r="B133" s="342"/>
      <c r="C133" s="342"/>
      <c r="D133" s="35" t="s">
        <v>166</v>
      </c>
      <c r="F133" s="171">
        <f>IF(F21="","",F21)</f>
        <v>5</v>
      </c>
      <c r="H133" s="35"/>
      <c r="I133" s="37"/>
      <c r="J133" s="37"/>
      <c r="K133" s="37"/>
      <c r="L133" s="37"/>
      <c r="M133" s="35"/>
      <c r="N133" s="144">
        <f>IF(compmean=1,2.97,3.2)</f>
        <v>3.2</v>
      </c>
      <c r="O133" s="145"/>
      <c r="P133" s="146">
        <f>IF(N133="","",($F133-K$113))</f>
        <v>-6.5333333333333332</v>
      </c>
      <c r="Q133" s="171" t="str">
        <f t="shared" si="9"/>
        <v>w</v>
      </c>
      <c r="S133" s="249"/>
      <c r="T133" s="249"/>
      <c r="U133" s="249"/>
      <c r="V133" s="249"/>
      <c r="W133" s="249">
        <f t="shared" si="6"/>
        <v>3</v>
      </c>
      <c r="X133" s="249">
        <f t="shared" si="7"/>
        <v>-1</v>
      </c>
      <c r="Y133" s="249"/>
      <c r="Z133" s="249"/>
      <c r="AA133" s="249">
        <f>SUM(AA117:AA123)</f>
        <v>2</v>
      </c>
      <c r="AB133" s="249"/>
      <c r="AC133" s="252"/>
      <c r="AD133" s="252"/>
      <c r="AE133" s="252"/>
      <c r="AF133" s="252"/>
      <c r="AG133" s="252"/>
      <c r="AH133" s="252"/>
      <c r="AI133" s="252"/>
      <c r="AJ133" s="252"/>
      <c r="AK133" s="252"/>
      <c r="AL133" s="252"/>
      <c r="AM133" s="252"/>
    </row>
    <row r="134" spans="2:39" ht="13.9" customHeight="1">
      <c r="B134" s="342"/>
      <c r="C134" s="342"/>
      <c r="D134" s="141" t="s">
        <v>168</v>
      </c>
      <c r="F134" s="171">
        <f>IF(F25="","",F25)</f>
        <v>7</v>
      </c>
      <c r="H134" s="35"/>
      <c r="I134" s="37"/>
      <c r="J134" s="37"/>
      <c r="K134" s="37"/>
      <c r="L134" s="37"/>
      <c r="M134" s="35"/>
      <c r="N134" s="144">
        <f>IF(OR(F134="",T113=1),"",IF($AI$47&lt;7,"",3.96))</f>
        <v>3.96</v>
      </c>
      <c r="O134" s="145"/>
      <c r="P134" s="146">
        <f>IF(OR(F134="",T113=1),"",($F134-K$113))</f>
        <v>-4.5333333333333332</v>
      </c>
      <c r="Q134" s="171" t="str">
        <f>IF(OR(F134="",T113=1),"",IF(SUM(W134+X134)=4,"s",IF(SUM(W134+X134)=2,"w","")))</f>
        <v>w</v>
      </c>
      <c r="S134" s="249"/>
      <c r="T134" s="249"/>
      <c r="U134" s="249"/>
      <c r="V134" s="249"/>
      <c r="W134" s="249">
        <f t="shared" si="6"/>
        <v>3</v>
      </c>
      <c r="X134" s="249">
        <f t="shared" si="7"/>
        <v>-1</v>
      </c>
      <c r="Y134" s="249"/>
      <c r="Z134" s="249"/>
      <c r="AA134" s="249"/>
      <c r="AB134" s="249"/>
      <c r="AC134" s="252"/>
      <c r="AD134" s="252"/>
      <c r="AE134" s="252"/>
      <c r="AF134" s="252"/>
      <c r="AG134" s="252"/>
      <c r="AH134" s="252"/>
      <c r="AI134" s="252"/>
      <c r="AJ134" s="252"/>
      <c r="AK134" s="252"/>
      <c r="AL134" s="252"/>
      <c r="AM134" s="252"/>
    </row>
    <row r="135" spans="2:39" ht="4.5" customHeight="1">
      <c r="D135" s="35"/>
      <c r="E135" s="35"/>
      <c r="F135" s="35"/>
      <c r="G135" s="35"/>
      <c r="H135" s="35"/>
      <c r="I135" s="35"/>
      <c r="J135" s="35"/>
      <c r="K135" s="35"/>
      <c r="L135" s="35"/>
      <c r="M135" s="35"/>
      <c r="N135" s="35"/>
      <c r="O135" s="35"/>
      <c r="P135" s="35"/>
      <c r="Q135" s="35"/>
      <c r="R135" s="130"/>
      <c r="S135" s="249"/>
      <c r="T135" s="249"/>
      <c r="U135" s="249"/>
      <c r="V135" s="249"/>
      <c r="W135" s="249"/>
      <c r="X135" s="249"/>
      <c r="Y135" s="249"/>
      <c r="Z135" s="249"/>
      <c r="AA135" s="249">
        <f>SUM(AA124:AA132)</f>
        <v>2</v>
      </c>
      <c r="AB135" s="249"/>
      <c r="AC135" s="252" t="s">
        <v>171</v>
      </c>
      <c r="AD135" s="252" t="s">
        <v>172</v>
      </c>
      <c r="AE135" s="252" t="s">
        <v>173</v>
      </c>
      <c r="AF135" s="252" t="s">
        <v>174</v>
      </c>
      <c r="AG135" s="252" t="s">
        <v>175</v>
      </c>
      <c r="AH135" s="252" t="s">
        <v>176</v>
      </c>
      <c r="AI135" s="252" t="s">
        <v>177</v>
      </c>
      <c r="AJ135" s="252" t="s">
        <v>178</v>
      </c>
      <c r="AK135" s="252" t="s">
        <v>179</v>
      </c>
      <c r="AL135" s="252" t="s">
        <v>180</v>
      </c>
      <c r="AM135" s="252" t="s">
        <v>181</v>
      </c>
    </row>
    <row r="136" spans="2:39" ht="14.25" customHeight="1">
      <c r="B136" s="316" t="s">
        <v>182</v>
      </c>
      <c r="C136" s="316"/>
      <c r="D136" s="316"/>
      <c r="E136" s="316"/>
      <c r="F136" s="316"/>
      <c r="G136" s="316"/>
      <c r="H136" s="316"/>
      <c r="I136" s="316"/>
      <c r="J136" s="316"/>
      <c r="K136" s="316"/>
      <c r="L136" s="316"/>
      <c r="M136" s="316"/>
      <c r="N136" s="316"/>
      <c r="O136" s="316"/>
      <c r="P136" s="316"/>
      <c r="Q136" s="316"/>
      <c r="R136" s="131"/>
      <c r="S136" s="255"/>
      <c r="T136" s="256"/>
      <c r="U136" s="255"/>
      <c r="V136" s="255"/>
      <c r="W136" s="255"/>
      <c r="X136" s="249"/>
      <c r="Y136" s="249"/>
      <c r="Z136" s="249"/>
      <c r="AA136" s="249"/>
      <c r="AB136" s="249"/>
      <c r="AC136" s="249"/>
      <c r="AD136" s="249"/>
      <c r="AE136" s="249"/>
      <c r="AF136" s="249"/>
      <c r="AG136" s="249"/>
      <c r="AH136" s="249"/>
      <c r="AI136" s="249"/>
      <c r="AJ136" s="249"/>
      <c r="AK136" s="249"/>
      <c r="AL136" s="249"/>
      <c r="AM136" s="249"/>
    </row>
    <row r="137" spans="2:39" ht="4.5" customHeight="1">
      <c r="B137" s="37"/>
      <c r="C137" s="37"/>
      <c r="D137" s="37"/>
      <c r="E137" s="37"/>
      <c r="F137" s="37"/>
      <c r="G137" s="37"/>
      <c r="H137" s="37"/>
      <c r="I137" s="37"/>
      <c r="J137" s="37"/>
      <c r="K137" s="37"/>
      <c r="L137" s="37"/>
      <c r="M137" s="37"/>
      <c r="N137" s="37"/>
      <c r="O137" s="37"/>
      <c r="P137" s="37"/>
      <c r="Q137" s="37"/>
      <c r="R137" s="131"/>
      <c r="S137" s="255"/>
      <c r="T137" s="256"/>
      <c r="U137" s="255"/>
      <c r="V137" s="255"/>
      <c r="W137" s="255"/>
      <c r="X137" s="249"/>
      <c r="Y137" s="249"/>
      <c r="Z137" s="249"/>
      <c r="AA137" s="249"/>
      <c r="AB137" s="249"/>
      <c r="AC137" s="249"/>
      <c r="AD137" s="249"/>
      <c r="AE137" s="249"/>
      <c r="AF137" s="249"/>
      <c r="AG137" s="249"/>
      <c r="AH137" s="249"/>
      <c r="AI137" s="249"/>
      <c r="AJ137" s="249"/>
      <c r="AK137" s="249"/>
      <c r="AL137" s="249"/>
      <c r="AM137" s="249"/>
    </row>
    <row r="138" spans="2:39" ht="12">
      <c r="B138" s="37"/>
      <c r="C138" s="35" t="str">
        <f>"Matrix Reasoning ("&amp;MR&amp;") "&amp;V138&amp;"  Block Design ("&amp;bd&amp;")"</f>
        <v>Matrix Reasoning (16) &gt;  Block Design (10)</v>
      </c>
      <c r="E138" s="37"/>
      <c r="F138" s="37"/>
      <c r="G138" s="37"/>
      <c r="K138" s="2" t="str">
        <f>IF(OR(F123="",F122=""),"",W138&amp;" point "&amp;X138&amp;" difference")</f>
        <v>6 point significant difference</v>
      </c>
      <c r="M138" s="35"/>
      <c r="O138" s="37"/>
      <c r="P138" s="37"/>
      <c r="Q138" s="37"/>
      <c r="R138" s="131"/>
      <c r="S138" s="255"/>
      <c r="T138" s="256" t="s">
        <v>183</v>
      </c>
      <c r="U138" s="255">
        <f>IF(F123=F122,1,IF(F123&gt;F122,2,3))</f>
        <v>2</v>
      </c>
      <c r="V138" s="255" t="str">
        <f>CHOOSE(U138,"=","&gt;","&lt;")</f>
        <v>&gt;</v>
      </c>
      <c r="W138" s="255">
        <f>ABS(F122-F123)</f>
        <v>6</v>
      </c>
      <c r="X138" s="255" t="str">
        <f>IF(W138&gt;2,"significant","nonsignificant")</f>
        <v>significant</v>
      </c>
      <c r="Y138" s="249"/>
      <c r="Z138" s="249"/>
      <c r="AA138" s="249"/>
      <c r="AB138" s="249"/>
      <c r="AC138" s="249"/>
      <c r="AD138" s="249"/>
      <c r="AE138" s="249"/>
      <c r="AF138" s="249"/>
      <c r="AG138" s="249"/>
      <c r="AH138" s="249"/>
      <c r="AI138" s="249"/>
      <c r="AJ138" s="249"/>
      <c r="AK138" s="249"/>
      <c r="AL138" s="249"/>
      <c r="AM138" s="249"/>
    </row>
    <row r="139" spans="2:39" ht="5.25" customHeight="1">
      <c r="S139" s="249"/>
      <c r="T139" s="249"/>
      <c r="U139" s="249"/>
      <c r="V139" s="249"/>
      <c r="W139" s="249"/>
      <c r="X139" s="249"/>
      <c r="Y139" s="249"/>
      <c r="Z139" s="249"/>
      <c r="AA139" s="249"/>
      <c r="AB139" s="249"/>
      <c r="AC139" s="249"/>
      <c r="AD139" s="249"/>
      <c r="AE139" s="249"/>
      <c r="AF139" s="249"/>
      <c r="AG139" s="249"/>
      <c r="AH139" s="249"/>
      <c r="AI139" s="249"/>
      <c r="AJ139" s="249"/>
      <c r="AK139" s="249"/>
      <c r="AL139" s="249"/>
      <c r="AM139" s="249"/>
    </row>
    <row r="140" spans="2:39" ht="12">
      <c r="B140" s="37"/>
      <c r="C140" s="35" t="str">
        <f>"Matrix Reasoning ("&amp;MR&amp;") "&amp;V140&amp;"  Figure Weights ("&amp;FW&amp;")"</f>
        <v>Matrix Reasoning (16) =  Figure Weights (16)</v>
      </c>
      <c r="E140" s="37"/>
      <c r="F140" s="37"/>
      <c r="G140" s="37"/>
      <c r="K140" s="2" t="str">
        <f>IF(OR(F125="",F124=""),"",W140&amp;" point "&amp;X140&amp;" difference")</f>
        <v>0 point nonsignificant difference</v>
      </c>
      <c r="M140" s="35"/>
      <c r="O140" s="37"/>
      <c r="P140" s="37"/>
      <c r="Q140" s="37"/>
      <c r="R140" s="131"/>
      <c r="S140" s="255"/>
      <c r="T140" s="256" t="s">
        <v>184</v>
      </c>
      <c r="U140" s="255">
        <f>IF(F123=F125,1,IF(F123&gt;F125,2,3))</f>
        <v>1</v>
      </c>
      <c r="V140" s="255" t="str">
        <f>CHOOSE(U140,"=","&gt;","&lt;")</f>
        <v>=</v>
      </c>
      <c r="W140" s="255">
        <f>ABS(F123-F125)</f>
        <v>0</v>
      </c>
      <c r="X140" s="255" t="str">
        <f>IF(W140&gt;2,"significant","nonsignificant")</f>
        <v>nonsignificant</v>
      </c>
      <c r="Y140" s="249"/>
      <c r="Z140" s="249"/>
      <c r="AA140" s="249"/>
      <c r="AB140" s="249"/>
      <c r="AC140" s="249"/>
      <c r="AD140" s="249"/>
      <c r="AE140" s="249"/>
      <c r="AF140" s="249"/>
      <c r="AG140" s="249"/>
      <c r="AH140" s="249"/>
      <c r="AI140" s="249"/>
      <c r="AJ140" s="249"/>
      <c r="AK140" s="249"/>
      <c r="AL140" s="249"/>
      <c r="AM140" s="249"/>
    </row>
    <row r="141" spans="2:39" ht="6" customHeight="1">
      <c r="S141" s="249"/>
      <c r="T141" s="249"/>
      <c r="U141" s="249"/>
      <c r="V141" s="249"/>
      <c r="W141" s="249"/>
      <c r="X141" s="249"/>
      <c r="Y141" s="249"/>
      <c r="Z141" s="249"/>
      <c r="AA141" s="249"/>
      <c r="AB141" s="249"/>
      <c r="AC141" s="249"/>
      <c r="AD141" s="249"/>
      <c r="AE141" s="249"/>
      <c r="AF141" s="249"/>
      <c r="AG141" s="249"/>
      <c r="AH141" s="249"/>
      <c r="AI141" s="249"/>
      <c r="AJ141" s="249"/>
      <c r="AK141" s="249"/>
      <c r="AL141" s="249"/>
      <c r="AM141" s="249"/>
    </row>
    <row r="142" spans="2:39" ht="12">
      <c r="B142" s="37"/>
      <c r="C142" s="35" t="str">
        <f>"Block Design ("&amp;bd&amp;") "&amp;V142&amp;"  Visual Puzzles ("&amp;VP&amp;")"</f>
        <v>Block Design (10) &gt;  Visual Puzzles (9)</v>
      </c>
      <c r="E142" s="37"/>
      <c r="F142" s="37"/>
      <c r="G142" s="37"/>
      <c r="K142" s="2" t="str">
        <f>IF(OR(F124="",F122=""),"",W142&amp;" point "&amp;X142&amp;" difference")</f>
        <v>1 point nonsignificant difference</v>
      </c>
      <c r="M142" s="35"/>
      <c r="O142" s="37"/>
      <c r="P142" s="37"/>
      <c r="Q142" s="37"/>
      <c r="R142" s="131"/>
      <c r="S142" s="255"/>
      <c r="T142" s="256" t="s">
        <v>185</v>
      </c>
      <c r="U142" s="255">
        <f>IF(F122=F124,1,IF(F122&gt;F124,2,3))</f>
        <v>2</v>
      </c>
      <c r="V142" s="255" t="str">
        <f>CHOOSE(U142,"=","&gt;","&lt;")</f>
        <v>&gt;</v>
      </c>
      <c r="W142" s="255">
        <f>ABS(F122-F124)</f>
        <v>1</v>
      </c>
      <c r="X142" s="255" t="str">
        <f>IF(W142&gt;2,"significant","nonsignificant")</f>
        <v>nonsignificant</v>
      </c>
      <c r="Y142" s="249"/>
      <c r="Z142" s="249"/>
      <c r="AA142" s="249"/>
      <c r="AB142" s="249"/>
      <c r="AC142" s="249"/>
      <c r="AD142" s="249"/>
      <c r="AE142" s="249"/>
      <c r="AF142" s="249"/>
      <c r="AG142" s="249"/>
      <c r="AH142" s="249"/>
      <c r="AI142" s="249"/>
      <c r="AJ142" s="249"/>
      <c r="AK142" s="249"/>
      <c r="AL142" s="249"/>
      <c r="AM142" s="249"/>
    </row>
    <row r="143" spans="2:39" ht="6" customHeight="1">
      <c r="S143" s="249"/>
      <c r="T143" s="249"/>
      <c r="U143" s="249"/>
      <c r="V143" s="249"/>
      <c r="W143" s="249"/>
      <c r="X143" s="249"/>
      <c r="Y143" s="249"/>
      <c r="Z143" s="249"/>
      <c r="AA143" s="249"/>
      <c r="AB143" s="249"/>
      <c r="AC143" s="249"/>
      <c r="AD143" s="249"/>
      <c r="AE143" s="249"/>
      <c r="AF143" s="249"/>
      <c r="AG143" s="249"/>
      <c r="AH143" s="249"/>
      <c r="AI143" s="249"/>
      <c r="AJ143" s="249"/>
      <c r="AK143" s="249"/>
      <c r="AL143" s="249"/>
      <c r="AM143" s="249"/>
    </row>
    <row r="144" spans="2:39" ht="9.75" customHeight="1">
      <c r="B144" s="37"/>
      <c r="C144" s="35" t="str">
        <f>"Information ("&amp;IN&amp;")  "&amp;V144&amp;"  Comprehension ("&amp;COMP&amp;")"</f>
        <v>Information (12)  =  Comprehension (12)</v>
      </c>
      <c r="E144" s="35"/>
      <c r="F144" s="35"/>
      <c r="G144" s="35"/>
      <c r="K144" s="2" t="str">
        <f>IF(OR(F120="",F119=""),"",W144&amp;" point "&amp;X144&amp;" difference")</f>
        <v>0 point nonsignificant difference</v>
      </c>
      <c r="O144" s="37"/>
      <c r="P144" s="37"/>
      <c r="Q144" s="37"/>
      <c r="R144" s="131"/>
      <c r="S144" s="255"/>
      <c r="T144" s="254" t="s">
        <v>186</v>
      </c>
      <c r="U144" s="255">
        <f>IF(F119=F120,1,IF(F119&gt;F120,2,3))</f>
        <v>1</v>
      </c>
      <c r="V144" s="255" t="str">
        <f>CHOOSE(U144,"=","&gt;","&lt;")</f>
        <v>=</v>
      </c>
      <c r="W144" s="255">
        <f>ABS(F120-F119)</f>
        <v>0</v>
      </c>
      <c r="X144" s="255" t="str">
        <f>IF(W144&gt;3,"significant","nonsignificant")</f>
        <v>nonsignificant</v>
      </c>
      <c r="Y144" s="249"/>
      <c r="Z144" s="249"/>
      <c r="AA144" s="249"/>
      <c r="AB144" s="249"/>
      <c r="AC144" s="249"/>
      <c r="AD144" s="249"/>
      <c r="AE144" s="249"/>
      <c r="AF144" s="249"/>
      <c r="AG144" s="249"/>
      <c r="AH144" s="249"/>
      <c r="AI144" s="249"/>
      <c r="AJ144" s="249"/>
      <c r="AK144" s="249"/>
      <c r="AL144" s="249"/>
      <c r="AM144" s="249"/>
    </row>
    <row r="145" spans="2:85" ht="5.25" customHeight="1">
      <c r="B145" s="37"/>
      <c r="K145" s="37"/>
      <c r="N145" s="35"/>
      <c r="O145" s="37"/>
      <c r="P145" s="37"/>
      <c r="Q145" s="37"/>
      <c r="R145" s="131"/>
      <c r="S145" s="255"/>
      <c r="T145" s="249"/>
      <c r="U145" s="249"/>
      <c r="V145" s="249"/>
      <c r="W145" s="249"/>
      <c r="X145" s="249"/>
      <c r="Y145" s="249"/>
      <c r="Z145" s="249"/>
      <c r="AA145" s="249"/>
      <c r="AB145" s="249"/>
      <c r="AC145" s="249"/>
      <c r="AD145" s="249"/>
      <c r="AE145" s="249"/>
      <c r="AF145" s="249"/>
      <c r="AG145" s="249"/>
      <c r="AH145" s="249"/>
      <c r="AI145" s="249"/>
      <c r="AJ145" s="249"/>
      <c r="AK145" s="249"/>
      <c r="AL145" s="249"/>
      <c r="AM145" s="249"/>
      <c r="AN145" s="249"/>
      <c r="AO145" s="249"/>
      <c r="AP145" s="249"/>
      <c r="AQ145" s="249"/>
      <c r="AR145" s="249"/>
      <c r="AS145" s="249"/>
      <c r="AT145" s="249"/>
      <c r="AU145" s="249"/>
      <c r="AV145" s="249"/>
      <c r="AW145" s="249"/>
      <c r="AX145" s="249"/>
      <c r="AY145" s="249"/>
      <c r="AZ145" s="249"/>
      <c r="BA145" s="249"/>
      <c r="BB145" s="249"/>
      <c r="BC145" s="249"/>
      <c r="BD145" s="249"/>
      <c r="BE145" s="249"/>
      <c r="BF145" s="249"/>
      <c r="BG145" s="249"/>
      <c r="BH145" s="249"/>
      <c r="BI145" s="249"/>
      <c r="BJ145" s="249"/>
      <c r="BK145" s="249"/>
      <c r="BL145" s="249"/>
      <c r="BM145" s="249"/>
      <c r="BN145" s="249"/>
      <c r="BO145" s="249"/>
      <c r="BP145" s="249"/>
      <c r="BQ145" s="249"/>
      <c r="BR145" s="249"/>
      <c r="BS145" s="260"/>
      <c r="BT145" s="260"/>
      <c r="BU145" s="260"/>
      <c r="BV145" s="260"/>
      <c r="BW145" s="260"/>
      <c r="BX145" s="260"/>
      <c r="BY145" s="260"/>
      <c r="BZ145" s="260"/>
      <c r="CA145" s="260"/>
      <c r="CB145" s="260"/>
      <c r="CC145" s="260"/>
      <c r="CD145" s="260"/>
      <c r="CE145" s="260"/>
      <c r="CF145" s="260"/>
      <c r="CG145" s="260"/>
    </row>
    <row r="146" spans="2:85" ht="10.5" customHeight="1">
      <c r="B146" s="37"/>
      <c r="C146" s="35" t="str">
        <f>"Digit Span ("&amp;DS&amp;")  "&amp;V146&amp;"  Arithmetic ("&amp;AR&amp;")"</f>
        <v>Digit Span (12)  &lt;  Arithmetic (16)</v>
      </c>
      <c r="K146" s="2" t="str">
        <f>IF(OR(F128="",F130=""),"",W146&amp;" point "&amp;X146&amp;" difference")</f>
        <v>1 point nonsignificant difference</v>
      </c>
      <c r="L146" s="37"/>
      <c r="M146" s="37"/>
      <c r="N146" s="37"/>
      <c r="O146" s="37"/>
      <c r="P146" s="37"/>
      <c r="Q146" s="37"/>
      <c r="R146" s="131"/>
      <c r="S146" s="255"/>
      <c r="T146" s="256" t="s">
        <v>187</v>
      </c>
      <c r="U146" s="255">
        <f>IF(F128=F129,1,IF(F128&gt;F129,2,3))</f>
        <v>3</v>
      </c>
      <c r="V146" s="255" t="str">
        <f>CHOOSE(U146,"=","&gt;","&lt;")</f>
        <v>&lt;</v>
      </c>
      <c r="W146" s="255">
        <f>ABS(F128-F130)</f>
        <v>1</v>
      </c>
      <c r="X146" s="255" t="str">
        <f>IF(W146&gt;2,"significant","nonsignificant")</f>
        <v>nonsignificant</v>
      </c>
      <c r="Y146" s="249"/>
      <c r="Z146" s="249"/>
      <c r="AA146" s="249"/>
      <c r="AB146" s="249"/>
      <c r="AC146" s="249"/>
      <c r="AD146" s="249"/>
      <c r="AE146" s="249"/>
      <c r="AF146" s="249"/>
      <c r="AG146" s="249"/>
      <c r="AH146" s="249"/>
      <c r="AI146" s="249"/>
      <c r="AJ146" s="249"/>
      <c r="AK146" s="249"/>
      <c r="AL146" s="249"/>
      <c r="AM146" s="249"/>
      <c r="AN146" s="249"/>
      <c r="AO146" s="249"/>
      <c r="AP146" s="249"/>
      <c r="AQ146" s="249"/>
      <c r="AR146" s="249"/>
      <c r="AS146" s="249"/>
      <c r="AT146" s="249"/>
      <c r="AU146" s="249"/>
      <c r="AV146" s="249"/>
      <c r="AW146" s="249"/>
      <c r="AX146" s="249"/>
      <c r="AY146" s="249"/>
      <c r="AZ146" s="249"/>
      <c r="BA146" s="249"/>
      <c r="BB146" s="249"/>
      <c r="BC146" s="249"/>
      <c r="BD146" s="249"/>
      <c r="BE146" s="249"/>
      <c r="BF146" s="249"/>
      <c r="BG146" s="249"/>
      <c r="BH146" s="249"/>
      <c r="BI146" s="249"/>
      <c r="BJ146" s="249"/>
      <c r="BK146" s="249"/>
      <c r="BL146" s="249"/>
      <c r="BM146" s="249"/>
      <c r="BN146" s="249"/>
      <c r="BO146" s="249"/>
      <c r="BP146" s="249"/>
      <c r="BQ146" s="249"/>
      <c r="BR146" s="249"/>
      <c r="BS146" s="260"/>
      <c r="BT146" s="260"/>
      <c r="BU146" s="260"/>
      <c r="BV146" s="260"/>
      <c r="BW146" s="260"/>
      <c r="BX146" s="260"/>
      <c r="BY146" s="260"/>
      <c r="BZ146" s="260"/>
      <c r="CA146" s="260"/>
      <c r="CB146" s="260"/>
      <c r="CC146" s="260"/>
      <c r="CD146" s="260"/>
      <c r="CE146" s="260"/>
      <c r="CF146" s="260"/>
      <c r="CG146" s="260"/>
    </row>
    <row r="147" spans="2:85" ht="6" customHeight="1">
      <c r="B147" s="37"/>
      <c r="E147" s="35"/>
      <c r="F147" s="35"/>
      <c r="G147" s="35"/>
      <c r="K147" s="37"/>
      <c r="O147" s="37"/>
      <c r="P147" s="37"/>
      <c r="Q147" s="37"/>
      <c r="R147" s="131"/>
      <c r="S147" s="255"/>
      <c r="T147" s="255"/>
      <c r="U147" s="255"/>
      <c r="V147" s="255"/>
      <c r="W147" s="255"/>
      <c r="X147" s="255"/>
      <c r="Y147" s="249"/>
      <c r="Z147" s="249"/>
      <c r="AA147" s="249"/>
      <c r="AB147" s="249"/>
      <c r="AC147" s="249"/>
      <c r="AD147" s="249"/>
      <c r="AE147" s="249"/>
      <c r="AF147" s="249"/>
      <c r="AG147" s="249"/>
      <c r="AH147" s="249"/>
      <c r="AI147" s="249"/>
      <c r="AJ147" s="249"/>
      <c r="AK147" s="249"/>
      <c r="AL147" s="249"/>
      <c r="AM147" s="249"/>
      <c r="AN147" s="249"/>
      <c r="AO147" s="249"/>
      <c r="AP147" s="249"/>
      <c r="AQ147" s="249"/>
      <c r="AR147" s="249"/>
      <c r="AS147" s="249"/>
      <c r="AT147" s="249"/>
      <c r="AU147" s="249"/>
      <c r="AV147" s="249"/>
      <c r="AW147" s="249"/>
      <c r="AX147" s="249"/>
      <c r="AY147" s="249"/>
      <c r="AZ147" s="249"/>
      <c r="BA147" s="249"/>
      <c r="BB147" s="249"/>
      <c r="BC147" s="249"/>
      <c r="BD147" s="249"/>
      <c r="BE147" s="249"/>
      <c r="BF147" s="249"/>
      <c r="BG147" s="249"/>
      <c r="BH147" s="249"/>
      <c r="BI147" s="249"/>
      <c r="BJ147" s="249"/>
      <c r="BK147" s="249"/>
      <c r="BL147" s="249"/>
      <c r="BM147" s="249"/>
      <c r="BN147" s="249"/>
      <c r="BO147" s="249"/>
      <c r="BP147" s="249"/>
      <c r="BQ147" s="249"/>
      <c r="BR147" s="249"/>
      <c r="BS147" s="260"/>
      <c r="BT147" s="260"/>
      <c r="BU147" s="260"/>
      <c r="BV147" s="260"/>
      <c r="BW147" s="260"/>
      <c r="BX147" s="260"/>
      <c r="BY147" s="260"/>
      <c r="BZ147" s="260"/>
      <c r="CA147" s="260"/>
      <c r="CB147" s="260"/>
      <c r="CC147" s="260"/>
      <c r="CD147" s="260"/>
      <c r="CE147" s="260"/>
      <c r="CF147" s="260"/>
      <c r="CG147" s="260"/>
    </row>
    <row r="148" spans="2:85" ht="9" customHeight="1">
      <c r="B148" s="37"/>
      <c r="C148" s="35" t="str">
        <f>"Digit Span ("&amp;DS&amp;")  "&amp;V148&amp;"  Letter Number Sequence ("&amp;lns&amp;")"</f>
        <v>Digit Span (12)  &gt;  Letter Number Sequence (11)</v>
      </c>
      <c r="G148" s="35"/>
      <c r="K148" s="3" t="str">
        <f>IF(OR(F128="",F129=""),"",W148&amp;" point "&amp;X148&amp;" difference")</f>
        <v>4 point significant difference</v>
      </c>
      <c r="L148" s="175"/>
      <c r="M148" s="175"/>
      <c r="N148" s="37"/>
      <c r="O148" s="37"/>
      <c r="P148" s="37"/>
      <c r="Q148" s="37"/>
      <c r="R148" s="131"/>
      <c r="S148" s="255"/>
      <c r="T148" s="256" t="s">
        <v>188</v>
      </c>
      <c r="U148" s="255">
        <f>IF(F128=F130,1,IF(F128&gt;F130,2,3))</f>
        <v>2</v>
      </c>
      <c r="V148" s="255" t="str">
        <f>CHOOSE(U148,"=","&gt;","&lt;")</f>
        <v>&gt;</v>
      </c>
      <c r="W148" s="255">
        <f>ABS(F128-F129)</f>
        <v>4</v>
      </c>
      <c r="X148" s="255" t="str">
        <f>IF(W148&gt;2,"significant","nonsignificant")</f>
        <v>significant</v>
      </c>
      <c r="Y148" s="249"/>
      <c r="Z148" s="249"/>
      <c r="AA148" s="249"/>
      <c r="AB148" s="249"/>
      <c r="AC148" s="249"/>
      <c r="AD148" s="249"/>
      <c r="AE148" s="249"/>
      <c r="AF148" s="249"/>
      <c r="AG148" s="249"/>
      <c r="AH148" s="249"/>
      <c r="AI148" s="249"/>
      <c r="AJ148" s="249"/>
      <c r="AK148" s="249"/>
      <c r="AL148" s="249"/>
      <c r="AM148" s="249"/>
      <c r="AN148" s="249"/>
      <c r="AO148" s="249"/>
      <c r="AP148" s="249"/>
      <c r="AQ148" s="249"/>
      <c r="AR148" s="249"/>
      <c r="AS148" s="249"/>
      <c r="AT148" s="249"/>
      <c r="AU148" s="249"/>
      <c r="AV148" s="249"/>
      <c r="AW148" s="249"/>
      <c r="AX148" s="249"/>
      <c r="AY148" s="249"/>
      <c r="AZ148" s="249"/>
      <c r="BA148" s="249"/>
      <c r="BB148" s="249"/>
      <c r="BC148" s="249"/>
      <c r="BD148" s="249"/>
      <c r="BE148" s="249"/>
      <c r="BF148" s="249"/>
      <c r="BG148" s="249"/>
      <c r="BH148" s="249"/>
      <c r="BI148" s="249"/>
      <c r="BJ148" s="249"/>
      <c r="BK148" s="249"/>
      <c r="BL148" s="249"/>
      <c r="BM148" s="249"/>
      <c r="BN148" s="249"/>
      <c r="BO148" s="249"/>
      <c r="BP148" s="249"/>
      <c r="BQ148" s="249"/>
      <c r="BR148" s="249"/>
      <c r="BS148" s="260"/>
      <c r="BT148" s="260"/>
      <c r="BU148" s="260"/>
      <c r="BV148" s="260"/>
      <c r="BW148" s="260"/>
      <c r="BX148" s="260"/>
      <c r="BY148" s="260"/>
      <c r="BZ148" s="260"/>
      <c r="CA148" s="260"/>
      <c r="CB148" s="260"/>
      <c r="CC148" s="260"/>
      <c r="CD148" s="260"/>
      <c r="CE148" s="260"/>
      <c r="CF148" s="260"/>
      <c r="CG148" s="260"/>
    </row>
    <row r="149" spans="2:85" ht="6" customHeight="1">
      <c r="B149" s="37"/>
      <c r="C149" s="37"/>
      <c r="E149" s="37"/>
      <c r="F149" s="37"/>
      <c r="G149" s="37"/>
      <c r="K149" s="37"/>
      <c r="L149" s="35"/>
      <c r="M149" s="35"/>
      <c r="N149" s="37"/>
      <c r="O149" s="37"/>
      <c r="P149" s="37"/>
      <c r="Q149" s="37"/>
      <c r="R149" s="131"/>
      <c r="S149" s="255"/>
      <c r="T149" s="255"/>
      <c r="U149" s="255"/>
      <c r="V149" s="255"/>
      <c r="W149" s="255"/>
      <c r="X149" s="255"/>
      <c r="Y149" s="249"/>
      <c r="Z149" s="249"/>
      <c r="AA149" s="249"/>
      <c r="AB149" s="249"/>
      <c r="AC149" s="249"/>
      <c r="AD149" s="249"/>
      <c r="AE149" s="249"/>
      <c r="AF149" s="249"/>
      <c r="AG149" s="249"/>
      <c r="AH149" s="249"/>
      <c r="AI149" s="249"/>
      <c r="AJ149" s="249"/>
      <c r="AK149" s="249"/>
      <c r="AL149" s="249"/>
      <c r="AM149" s="249"/>
      <c r="AN149" s="249"/>
      <c r="AO149" s="249"/>
      <c r="AP149" s="249"/>
      <c r="AQ149" s="249"/>
      <c r="AR149" s="249"/>
      <c r="AS149" s="249"/>
      <c r="AT149" s="249"/>
      <c r="AU149" s="249"/>
      <c r="AV149" s="249"/>
      <c r="AW149" s="249"/>
      <c r="AX149" s="249"/>
      <c r="AY149" s="249"/>
      <c r="AZ149" s="249"/>
      <c r="BA149" s="249"/>
      <c r="BB149" s="249"/>
      <c r="BC149" s="249"/>
      <c r="BD149" s="249"/>
      <c r="BE149" s="249"/>
      <c r="BF149" s="249"/>
      <c r="BG149" s="249"/>
      <c r="BH149" s="249"/>
      <c r="BI149" s="249"/>
      <c r="BJ149" s="249"/>
      <c r="BK149" s="249"/>
      <c r="BL149" s="249"/>
      <c r="BM149" s="249"/>
      <c r="BN149" s="249"/>
      <c r="BO149" s="249"/>
      <c r="BP149" s="249"/>
      <c r="BQ149" s="249"/>
      <c r="BR149" s="249"/>
      <c r="BS149" s="260"/>
      <c r="BT149" s="260"/>
      <c r="BU149" s="260"/>
      <c r="BV149" s="260"/>
      <c r="BW149" s="260"/>
      <c r="BX149" s="260"/>
      <c r="BY149" s="260"/>
      <c r="BZ149" s="260"/>
      <c r="CA149" s="260"/>
      <c r="CB149" s="260"/>
      <c r="CC149" s="260"/>
      <c r="CD149" s="260"/>
      <c r="CE149" s="260"/>
      <c r="CF149" s="260"/>
      <c r="CG149" s="260"/>
    </row>
    <row r="150" spans="2:85" ht="9.75" customHeight="1">
      <c r="B150" s="37"/>
      <c r="C150" s="35" t="str">
        <f>"Arithmetic ("&amp;AR&amp;")   "&amp;V150&amp;"  Letter Number Sequence ("&amp;lns&amp;")"</f>
        <v>Arithmetic (16)   &gt;  Letter Number Sequence (11)</v>
      </c>
      <c r="G150" s="35"/>
      <c r="K150" s="3" t="str">
        <f>IF(OR(F129="",F130=""),"",W150&amp;" point "&amp;X150&amp;" difference")</f>
        <v>5 point significant difference</v>
      </c>
      <c r="L150" s="175"/>
      <c r="M150" s="37"/>
      <c r="N150" s="37"/>
      <c r="O150" s="37"/>
      <c r="P150" s="37"/>
      <c r="Q150" s="37"/>
      <c r="R150" s="131"/>
      <c r="S150" s="255"/>
      <c r="T150" s="256" t="s">
        <v>189</v>
      </c>
      <c r="U150" s="255">
        <f>IF(F129=F130,1,IF(F129&gt;F130,2,3))</f>
        <v>2</v>
      </c>
      <c r="V150" s="255" t="str">
        <f>CHOOSE(U150,"=","&gt;","&lt;")</f>
        <v>&gt;</v>
      </c>
      <c r="W150" s="255">
        <f>ABS(F130-F129)</f>
        <v>5</v>
      </c>
      <c r="X150" s="255" t="str">
        <f>IF(W150&gt;2,"significant","nonsignificant")</f>
        <v>significant</v>
      </c>
      <c r="Y150" s="249"/>
      <c r="Z150" s="249"/>
      <c r="AA150" s="249"/>
      <c r="AB150" s="249"/>
      <c r="AC150" s="249"/>
      <c r="AD150" s="249"/>
      <c r="AE150" s="249"/>
      <c r="AF150" s="249"/>
      <c r="AG150" s="249"/>
      <c r="AH150" s="249"/>
      <c r="AI150" s="249"/>
      <c r="AJ150" s="249"/>
      <c r="AK150" s="249"/>
      <c r="AL150" s="249"/>
      <c r="AM150" s="249"/>
      <c r="AN150" s="249"/>
      <c r="AO150" s="249"/>
      <c r="AP150" s="249"/>
      <c r="AQ150" s="249"/>
      <c r="AR150" s="249"/>
      <c r="AS150" s="249"/>
      <c r="AT150" s="249"/>
      <c r="AU150" s="249"/>
      <c r="AV150" s="249"/>
      <c r="AW150" s="249"/>
      <c r="AX150" s="249"/>
      <c r="AY150" s="249"/>
      <c r="AZ150" s="249"/>
      <c r="BA150" s="249"/>
      <c r="BB150" s="249"/>
      <c r="BC150" s="249"/>
      <c r="BD150" s="249"/>
      <c r="BE150" s="249"/>
      <c r="BF150" s="249"/>
      <c r="BG150" s="249"/>
      <c r="BH150" s="249"/>
      <c r="BI150" s="249"/>
      <c r="BJ150" s="249"/>
      <c r="BK150" s="249"/>
      <c r="BL150" s="249"/>
      <c r="BM150" s="249"/>
      <c r="BN150" s="249"/>
      <c r="BO150" s="249"/>
      <c r="BP150" s="249"/>
      <c r="BQ150" s="249"/>
      <c r="BR150" s="249"/>
      <c r="BS150" s="260"/>
      <c r="BT150" s="260"/>
      <c r="BU150" s="260"/>
      <c r="BV150" s="260"/>
      <c r="BW150" s="260"/>
      <c r="BX150" s="260"/>
      <c r="BY150" s="260"/>
      <c r="BZ150" s="260"/>
      <c r="CA150" s="260"/>
      <c r="CB150" s="260"/>
      <c r="CC150" s="260"/>
      <c r="CD150" s="260"/>
      <c r="CE150" s="260"/>
      <c r="CF150" s="260"/>
      <c r="CG150" s="260"/>
    </row>
    <row r="151" spans="2:85" ht="6" customHeight="1">
      <c r="B151" s="37"/>
      <c r="C151" s="35"/>
      <c r="G151" s="35"/>
      <c r="K151" s="3" t="str">
        <f>IF(OR(F129="",F131=""),"",#REF!&amp;" point "&amp;#REF!&amp;" difference")</f>
        <v/>
      </c>
      <c r="L151" s="175"/>
      <c r="M151" s="37"/>
      <c r="N151" s="37"/>
      <c r="O151" s="37"/>
      <c r="P151" s="37"/>
      <c r="Q151" s="37"/>
      <c r="R151" s="131"/>
      <c r="S151" s="255"/>
      <c r="T151" s="256"/>
      <c r="U151" s="249"/>
      <c r="V151" s="255"/>
      <c r="W151" s="255"/>
      <c r="X151" s="249"/>
      <c r="Y151" s="249"/>
      <c r="Z151" s="249"/>
      <c r="AA151" s="249"/>
      <c r="AB151" s="249"/>
      <c r="AC151" s="249"/>
      <c r="AD151" s="249"/>
      <c r="AE151" s="249"/>
      <c r="AF151" s="249"/>
      <c r="AG151" s="249"/>
      <c r="AH151" s="249"/>
      <c r="AI151" s="249"/>
      <c r="AJ151" s="249"/>
      <c r="AK151" s="249"/>
      <c r="AL151" s="249"/>
      <c r="AM151" s="249"/>
      <c r="AN151" s="249"/>
      <c r="AO151" s="249"/>
      <c r="AP151" s="249"/>
      <c r="AQ151" s="249"/>
      <c r="AR151" s="249"/>
      <c r="AS151" s="249"/>
      <c r="AT151" s="249"/>
      <c r="AU151" s="249"/>
      <c r="AV151" s="249"/>
      <c r="AW151" s="249"/>
      <c r="AX151" s="249"/>
      <c r="AY151" s="249"/>
      <c r="AZ151" s="249"/>
      <c r="BA151" s="249"/>
      <c r="BB151" s="249"/>
      <c r="BC151" s="249"/>
      <c r="BD151" s="249"/>
      <c r="BE151" s="249"/>
      <c r="BF151" s="249"/>
      <c r="BG151" s="249"/>
      <c r="BH151" s="249"/>
      <c r="BI151" s="249"/>
      <c r="BJ151" s="249"/>
      <c r="BK151" s="249"/>
      <c r="BL151" s="249"/>
      <c r="BM151" s="249"/>
      <c r="BN151" s="249"/>
      <c r="BO151" s="249"/>
      <c r="BP151" s="249"/>
      <c r="BQ151" s="249"/>
      <c r="BR151" s="249"/>
      <c r="BS151" s="260"/>
      <c r="BT151" s="260"/>
      <c r="BU151" s="260"/>
      <c r="BV151" s="260"/>
      <c r="BW151" s="260"/>
      <c r="BX151" s="260"/>
      <c r="BY151" s="260"/>
      <c r="BZ151" s="260"/>
      <c r="CA151" s="260"/>
      <c r="CB151" s="260"/>
      <c r="CC151" s="260"/>
      <c r="CD151" s="260"/>
      <c r="CE151" s="260"/>
      <c r="CF151" s="260"/>
      <c r="CG151" s="260"/>
    </row>
    <row r="152" spans="2:85" ht="9.75" customHeight="1">
      <c r="B152" s="37"/>
      <c r="C152" s="35" t="str">
        <f>"Coding ("&amp;CD&amp;") "&amp;V152&amp;"  Symbol Search ("&amp;SS&amp;")"</f>
        <v>Coding (5) &lt;  Symbol Search (10)</v>
      </c>
      <c r="K152" s="2" t="str">
        <f>IF(OR(F132="",F133=""),"",W152&amp;" point "&amp;X152&amp;" difference")</f>
        <v>5 point significant difference</v>
      </c>
      <c r="O152" s="37"/>
      <c r="P152" s="37"/>
      <c r="Q152" s="37"/>
      <c r="R152" s="131"/>
      <c r="S152" s="255"/>
      <c r="T152" s="256" t="s">
        <v>190</v>
      </c>
      <c r="U152" s="255">
        <f>IF(F133=F132,1,IF(F133&gt;F132,2,3))</f>
        <v>3</v>
      </c>
      <c r="V152" s="255" t="str">
        <f>CHOOSE(U152,"=","&gt;","&lt;")</f>
        <v>&lt;</v>
      </c>
      <c r="W152" s="255">
        <f>ABS(F132-F133)</f>
        <v>5</v>
      </c>
      <c r="X152" s="255" t="str">
        <f>IF(W152&gt;3,"significant","nonsignificant")</f>
        <v>significant</v>
      </c>
      <c r="Y152" s="249"/>
      <c r="Z152" s="249"/>
      <c r="AA152" s="249"/>
      <c r="AB152" s="249"/>
      <c r="AC152" s="249"/>
      <c r="AD152" s="249"/>
      <c r="AE152" s="249"/>
      <c r="AF152" s="249"/>
      <c r="AG152" s="249"/>
      <c r="AH152" s="249"/>
      <c r="AI152" s="249"/>
      <c r="AJ152" s="249"/>
      <c r="AK152" s="249"/>
      <c r="AL152" s="249"/>
      <c r="AM152" s="249"/>
      <c r="AN152" s="249"/>
      <c r="AO152" s="249"/>
      <c r="AP152" s="249"/>
      <c r="AQ152" s="249"/>
      <c r="AR152" s="249"/>
      <c r="AS152" s="249"/>
      <c r="AT152" s="249"/>
      <c r="AU152" s="249"/>
      <c r="AV152" s="249"/>
      <c r="AW152" s="249"/>
      <c r="AX152" s="249"/>
      <c r="AY152" s="249"/>
      <c r="AZ152" s="249"/>
      <c r="BA152" s="249"/>
      <c r="BB152" s="249"/>
      <c r="BC152" s="249"/>
      <c r="BD152" s="249"/>
      <c r="BE152" s="249"/>
      <c r="BF152" s="249"/>
      <c r="BG152" s="249"/>
      <c r="BH152" s="249"/>
      <c r="BI152" s="249"/>
      <c r="BJ152" s="249"/>
      <c r="BK152" s="249"/>
      <c r="BL152" s="249"/>
      <c r="BM152" s="249"/>
      <c r="BN152" s="249"/>
      <c r="BO152" s="249"/>
      <c r="BP152" s="249"/>
      <c r="BQ152" s="249"/>
      <c r="BR152" s="249"/>
      <c r="BS152" s="260"/>
      <c r="BT152" s="260"/>
      <c r="BU152" s="260"/>
      <c r="BV152" s="260"/>
      <c r="BW152" s="260"/>
      <c r="BX152" s="260"/>
      <c r="BY152" s="260"/>
      <c r="BZ152" s="260"/>
      <c r="CA152" s="260"/>
      <c r="CB152" s="260"/>
      <c r="CC152" s="260"/>
      <c r="CD152" s="260"/>
      <c r="CE152" s="260"/>
      <c r="CF152" s="260"/>
      <c r="CG152" s="260"/>
    </row>
    <row r="153" spans="2:85" ht="6" customHeight="1">
      <c r="B153" s="37"/>
      <c r="C153" s="35"/>
      <c r="G153" s="35"/>
      <c r="K153" s="3"/>
      <c r="L153" s="175"/>
      <c r="M153" s="37"/>
      <c r="N153" s="37"/>
      <c r="O153" s="37"/>
      <c r="P153" s="37"/>
      <c r="Q153" s="37"/>
      <c r="R153" s="131"/>
      <c r="S153" s="255"/>
      <c r="T153" s="256"/>
      <c r="U153" s="255"/>
      <c r="V153" s="255"/>
      <c r="W153" s="255"/>
      <c r="X153" s="249"/>
      <c r="Y153" s="249"/>
      <c r="Z153" s="249"/>
      <c r="AA153" s="249"/>
      <c r="AB153" s="249"/>
      <c r="AC153" s="249"/>
      <c r="AD153" s="249"/>
      <c r="AE153" s="249"/>
      <c r="AF153" s="249"/>
      <c r="AG153" s="249"/>
      <c r="AH153" s="249"/>
      <c r="AI153" s="249"/>
      <c r="AJ153" s="249"/>
      <c r="AK153" s="249"/>
      <c r="AL153" s="249"/>
      <c r="AM153" s="249"/>
      <c r="AN153" s="249"/>
      <c r="AO153" s="249"/>
      <c r="AP153" s="249"/>
      <c r="AQ153" s="249"/>
      <c r="AR153" s="249"/>
      <c r="AS153" s="249"/>
      <c r="AT153" s="249"/>
      <c r="AU153" s="249"/>
      <c r="AV153" s="249"/>
      <c r="AW153" s="249"/>
      <c r="AX153" s="249"/>
      <c r="AY153" s="249"/>
      <c r="AZ153" s="249"/>
      <c r="BA153" s="249"/>
      <c r="BB153" s="249"/>
      <c r="BC153" s="249"/>
      <c r="BD153" s="249"/>
      <c r="BE153" s="249"/>
      <c r="BF153" s="249"/>
      <c r="BG153" s="249"/>
      <c r="BH153" s="249"/>
      <c r="BI153" s="249"/>
      <c r="BJ153" s="249"/>
      <c r="BK153" s="249"/>
      <c r="BL153" s="249"/>
      <c r="BM153" s="249"/>
      <c r="BN153" s="249"/>
      <c r="BO153" s="249"/>
      <c r="BP153" s="249"/>
      <c r="BQ153" s="249"/>
      <c r="BR153" s="249"/>
      <c r="BS153" s="260"/>
      <c r="BT153" s="260"/>
      <c r="BU153" s="260"/>
      <c r="BV153" s="260"/>
      <c r="BW153" s="260"/>
      <c r="BX153" s="260"/>
      <c r="BY153" s="260"/>
      <c r="BZ153" s="260"/>
      <c r="CA153" s="260"/>
      <c r="CB153" s="260"/>
      <c r="CC153" s="260"/>
      <c r="CD153" s="260"/>
      <c r="CE153" s="260"/>
      <c r="CF153" s="260"/>
      <c r="CG153" s="260"/>
    </row>
    <row r="154" spans="2:85" ht="10.5" customHeight="1">
      <c r="B154" s="37"/>
      <c r="C154" s="35" t="str">
        <f>"Coding ("&amp;CD&amp;") "&amp;V154&amp;"  Cancellation ("&amp;CA&amp;")"</f>
        <v>Coding (5) &lt;  Cancellation (7)</v>
      </c>
      <c r="G154" s="35"/>
      <c r="K154" s="3" t="str">
        <f>IF(OR(F132="",F134=""),"",W154&amp;" point "&amp;X154&amp;" difference")</f>
        <v>3 point nonsignificant difference</v>
      </c>
      <c r="L154" s="175"/>
      <c r="M154" s="37"/>
      <c r="N154" s="37"/>
      <c r="O154" s="37"/>
      <c r="P154" s="37"/>
      <c r="Q154" s="37"/>
      <c r="R154" s="131"/>
      <c r="S154" s="255"/>
      <c r="T154" s="256" t="s">
        <v>191</v>
      </c>
      <c r="U154" s="255">
        <f>IF(F133=F134,1,IF(F133&gt;F134,2,3))</f>
        <v>3</v>
      </c>
      <c r="V154" s="255" t="str">
        <f>CHOOSE(U154,"=","&gt;","&lt;")</f>
        <v>&lt;</v>
      </c>
      <c r="W154" s="255">
        <f>ABS(F132-F134)</f>
        <v>3</v>
      </c>
      <c r="X154" s="255" t="str">
        <f>IF(W154&gt;3,"significant","nonsignificant")</f>
        <v>nonsignificant</v>
      </c>
      <c r="Y154" s="249"/>
      <c r="Z154" s="249"/>
      <c r="AA154" s="249"/>
      <c r="AB154" s="249"/>
      <c r="AC154" s="249"/>
      <c r="AD154" s="249"/>
      <c r="AE154" s="249"/>
      <c r="AF154" s="249"/>
      <c r="AG154" s="249"/>
      <c r="AH154" s="249"/>
      <c r="AI154" s="249"/>
      <c r="AJ154" s="249"/>
      <c r="AK154" s="249"/>
      <c r="AL154" s="249"/>
      <c r="AM154" s="249"/>
      <c r="AN154" s="249"/>
      <c r="AO154" s="249"/>
      <c r="AP154" s="249"/>
      <c r="AQ154" s="249"/>
      <c r="AR154" s="249"/>
      <c r="AS154" s="249"/>
      <c r="AT154" s="249"/>
      <c r="AU154" s="249"/>
      <c r="AV154" s="249"/>
      <c r="AW154" s="249"/>
      <c r="AX154" s="249"/>
      <c r="AY154" s="249"/>
      <c r="AZ154" s="249"/>
      <c r="BA154" s="249"/>
      <c r="BB154" s="249"/>
      <c r="BC154" s="249"/>
      <c r="BD154" s="249"/>
      <c r="BE154" s="249"/>
      <c r="BF154" s="249"/>
      <c r="BG154" s="249"/>
      <c r="BH154" s="249"/>
      <c r="BI154" s="249"/>
      <c r="BJ154" s="249"/>
      <c r="BK154" s="249"/>
      <c r="BL154" s="249"/>
      <c r="BM154" s="249"/>
      <c r="BN154" s="249"/>
      <c r="BO154" s="249"/>
      <c r="BP154" s="249"/>
      <c r="BQ154" s="249"/>
      <c r="BR154" s="249"/>
      <c r="BS154" s="260"/>
      <c r="BT154" s="260"/>
      <c r="BU154" s="260"/>
      <c r="BV154" s="260"/>
      <c r="BW154" s="260"/>
      <c r="BX154" s="260"/>
      <c r="BY154" s="260"/>
      <c r="BZ154" s="260"/>
      <c r="CA154" s="260"/>
      <c r="CB154" s="260"/>
      <c r="CC154" s="260"/>
      <c r="CD154" s="260"/>
      <c r="CE154" s="260"/>
      <c r="CF154" s="260"/>
      <c r="CG154" s="260"/>
    </row>
    <row r="155" spans="2:85" ht="6" customHeight="1">
      <c r="B155" s="37"/>
      <c r="C155" s="35"/>
      <c r="G155" s="35"/>
      <c r="K155" s="3"/>
      <c r="L155" s="175"/>
      <c r="M155" s="37"/>
      <c r="N155" s="37"/>
      <c r="O155" s="37"/>
      <c r="P155" s="37"/>
      <c r="Q155" s="37"/>
      <c r="R155" s="131"/>
      <c r="S155" s="255"/>
      <c r="T155" s="256"/>
      <c r="U155" s="255"/>
      <c r="V155" s="255"/>
      <c r="W155" s="255"/>
      <c r="X155" s="255"/>
      <c r="Y155" s="249"/>
      <c r="Z155" s="249"/>
      <c r="AA155" s="249"/>
      <c r="AB155" s="249"/>
      <c r="AC155" s="249"/>
      <c r="AD155" s="249"/>
      <c r="AE155" s="249"/>
      <c r="AF155" s="249"/>
      <c r="AG155" s="249"/>
      <c r="AH155" s="249"/>
      <c r="AI155" s="249"/>
      <c r="AJ155" s="249"/>
      <c r="AK155" s="249"/>
      <c r="AL155" s="249"/>
      <c r="AM155" s="249"/>
      <c r="AN155" s="249"/>
      <c r="AO155" s="249"/>
      <c r="AP155" s="249"/>
      <c r="AQ155" s="249"/>
      <c r="AR155" s="249"/>
      <c r="AS155" s="249"/>
      <c r="AT155" s="249"/>
      <c r="AU155" s="249"/>
      <c r="AV155" s="249"/>
      <c r="AW155" s="249"/>
      <c r="AX155" s="249"/>
      <c r="AY155" s="249"/>
      <c r="AZ155" s="249"/>
      <c r="BA155" s="249"/>
      <c r="BB155" s="249"/>
      <c r="BC155" s="249"/>
      <c r="BD155" s="249"/>
      <c r="BE155" s="249"/>
      <c r="BF155" s="249"/>
      <c r="BG155" s="249"/>
      <c r="BH155" s="249"/>
      <c r="BI155" s="249"/>
      <c r="BJ155" s="249"/>
      <c r="BK155" s="249"/>
      <c r="BL155" s="249"/>
      <c r="BM155" s="249"/>
      <c r="BN155" s="249"/>
      <c r="BO155" s="249"/>
      <c r="BP155" s="249"/>
      <c r="BQ155" s="249"/>
      <c r="BR155" s="249"/>
      <c r="BS155" s="260"/>
      <c r="BT155" s="260"/>
      <c r="BU155" s="260"/>
      <c r="BV155" s="260"/>
      <c r="BW155" s="260"/>
      <c r="BX155" s="260"/>
      <c r="BY155" s="260"/>
      <c r="BZ155" s="260"/>
      <c r="CA155" s="260"/>
      <c r="CB155" s="260"/>
      <c r="CC155" s="260"/>
      <c r="CD155" s="260"/>
      <c r="CE155" s="260"/>
      <c r="CF155" s="260"/>
      <c r="CG155" s="260"/>
    </row>
    <row r="156" spans="2:85" ht="12">
      <c r="B156" s="316" t="s">
        <v>192</v>
      </c>
      <c r="C156" s="316"/>
      <c r="D156" s="316"/>
      <c r="E156" s="316"/>
      <c r="F156" s="316"/>
      <c r="G156" s="316"/>
      <c r="H156" s="316"/>
      <c r="I156" s="316"/>
      <c r="J156" s="316"/>
      <c r="K156" s="316"/>
      <c r="L156" s="316"/>
      <c r="M156" s="316"/>
      <c r="N156" s="316"/>
      <c r="O156" s="316"/>
      <c r="P156" s="316"/>
      <c r="Q156" s="316"/>
      <c r="R156" s="131"/>
      <c r="S156" s="255"/>
      <c r="T156" s="256"/>
      <c r="U156" s="255"/>
      <c r="V156" s="255"/>
      <c r="W156" s="255"/>
      <c r="X156" s="249"/>
      <c r="Y156" s="249"/>
      <c r="Z156" s="249"/>
      <c r="AA156" s="249"/>
      <c r="AB156" s="249"/>
      <c r="AC156" s="249"/>
      <c r="AD156" s="249"/>
      <c r="AE156" s="249"/>
      <c r="AF156" s="249"/>
      <c r="AG156" s="249"/>
      <c r="AH156" s="249"/>
      <c r="AI156" s="249"/>
      <c r="AJ156" s="249"/>
      <c r="AK156" s="249"/>
      <c r="AL156" s="249"/>
      <c r="AM156" s="249"/>
      <c r="AN156" s="249"/>
      <c r="AO156" s="249"/>
      <c r="AP156" s="249"/>
      <c r="AQ156" s="249"/>
      <c r="AR156" s="249"/>
      <c r="AS156" s="249"/>
      <c r="AT156" s="249"/>
      <c r="AU156" s="249"/>
      <c r="AV156" s="249"/>
      <c r="AW156" s="249"/>
      <c r="AX156" s="249"/>
      <c r="AY156" s="249"/>
      <c r="AZ156" s="249"/>
      <c r="BA156" s="249"/>
      <c r="BB156" s="249"/>
      <c r="BC156" s="249"/>
      <c r="BD156" s="249"/>
      <c r="BE156" s="249"/>
      <c r="BF156" s="249"/>
      <c r="BG156" s="249"/>
      <c r="BH156" s="249"/>
      <c r="BI156" s="249"/>
      <c r="BJ156" s="249"/>
      <c r="BK156" s="249"/>
      <c r="BL156" s="249"/>
      <c r="BM156" s="249"/>
      <c r="BN156" s="249"/>
      <c r="BO156" s="249"/>
      <c r="BP156" s="249"/>
      <c r="BQ156" s="249"/>
      <c r="BR156" s="249"/>
      <c r="BS156" s="260"/>
      <c r="BT156" s="260"/>
      <c r="BU156" s="260"/>
      <c r="BV156" s="260"/>
      <c r="BW156" s="260"/>
      <c r="BX156" s="260"/>
      <c r="BY156" s="260"/>
      <c r="BZ156" s="260"/>
      <c r="CA156" s="260"/>
      <c r="CB156" s="260"/>
      <c r="CC156" s="260"/>
      <c r="CD156" s="260"/>
      <c r="CE156" s="260"/>
      <c r="CF156" s="260"/>
      <c r="CG156" s="260"/>
    </row>
    <row r="157" spans="2:85" ht="6" customHeight="1">
      <c r="B157" s="37"/>
      <c r="C157" s="37"/>
      <c r="E157" s="37"/>
      <c r="F157" s="37"/>
      <c r="G157" s="37"/>
      <c r="H157" s="37"/>
      <c r="I157" s="37"/>
      <c r="J157" s="37"/>
      <c r="K157" s="37"/>
      <c r="L157" s="37"/>
      <c r="M157" s="37"/>
      <c r="O157" s="37"/>
      <c r="P157" s="37"/>
      <c r="Q157" s="37"/>
      <c r="R157" s="131"/>
      <c r="S157" s="255"/>
      <c r="T157" s="256"/>
      <c r="U157" s="255"/>
      <c r="V157" s="255"/>
      <c r="W157" s="255"/>
      <c r="X157" s="249"/>
      <c r="Y157" s="249"/>
      <c r="Z157" s="249"/>
      <c r="AA157" s="249"/>
      <c r="AB157" s="249"/>
      <c r="AC157" s="249"/>
      <c r="AD157" s="249"/>
      <c r="AE157" s="249"/>
      <c r="AF157" s="249"/>
      <c r="AG157" s="249"/>
      <c r="AH157" s="249"/>
      <c r="AI157" s="249"/>
      <c r="AJ157" s="249"/>
      <c r="AK157" s="249"/>
      <c r="AL157" s="249"/>
      <c r="AM157" s="249"/>
      <c r="AN157" s="249"/>
      <c r="AO157" s="249"/>
      <c r="AP157" s="249"/>
      <c r="AQ157" s="249"/>
      <c r="AR157" s="249"/>
      <c r="AS157" s="249"/>
      <c r="AT157" s="249"/>
      <c r="AU157" s="249"/>
      <c r="AV157" s="249"/>
      <c r="AW157" s="249"/>
      <c r="AX157" s="249"/>
      <c r="AY157" s="249"/>
      <c r="AZ157" s="249"/>
      <c r="BA157" s="249"/>
      <c r="BB157" s="249"/>
      <c r="BC157" s="249"/>
      <c r="BD157" s="249"/>
      <c r="BE157" s="249"/>
      <c r="BF157" s="249"/>
      <c r="BG157" s="249"/>
      <c r="BH157" s="249"/>
      <c r="BI157" s="249"/>
      <c r="BJ157" s="249"/>
      <c r="BK157" s="249"/>
      <c r="BL157" s="249"/>
      <c r="BM157" s="249"/>
      <c r="BN157" s="249"/>
      <c r="BO157" s="249"/>
      <c r="BP157" s="249"/>
      <c r="BQ157" s="249"/>
      <c r="BR157" s="249"/>
      <c r="BS157" s="260"/>
      <c r="BT157" s="260"/>
      <c r="BU157" s="260"/>
      <c r="BV157" s="260"/>
      <c r="BW157" s="260"/>
      <c r="BX157" s="260"/>
      <c r="BY157" s="260"/>
      <c r="BZ157" s="260"/>
      <c r="CA157" s="260"/>
      <c r="CB157" s="260"/>
      <c r="CC157" s="260"/>
      <c r="CD157" s="260"/>
      <c r="CE157" s="260"/>
      <c r="CF157" s="260"/>
      <c r="CG157" s="260"/>
    </row>
    <row r="158" spans="2:85" s="35" customFormat="1" ht="16.5" customHeight="1">
      <c r="B158" s="155"/>
      <c r="C158" s="35" t="str">
        <f>"Block Design ("&amp;F12&amp;")  "&amp;V158&amp;"  Block Design No Time Bonus ("&amp;F30&amp;")"</f>
        <v>Block Design (10)  &lt;  Block Design No Time Bonus (14)</v>
      </c>
      <c r="E158" s="155"/>
      <c r="K158" s="156" t="str">
        <f>IF(OR(F12="",F30=""),"",W158&amp;" point "&amp;X158&amp;" difference")</f>
        <v>4 point significant difference</v>
      </c>
      <c r="L158" s="155"/>
      <c r="M158" s="155"/>
      <c r="N158" s="155"/>
      <c r="O158" s="155"/>
      <c r="P158" s="155"/>
      <c r="R158" s="130"/>
      <c r="S158" s="261"/>
      <c r="T158" s="262" t="s">
        <v>193</v>
      </c>
      <c r="U158" s="263">
        <f>IF(F12=F30,1,IF(F12&gt;F30,2,3))</f>
        <v>3</v>
      </c>
      <c r="V158" s="263" t="str">
        <f t="shared" ref="V158:V164" si="10">CHOOSE(U158,"=","&gt;","&lt;")</f>
        <v>&lt;</v>
      </c>
      <c r="W158" s="263">
        <f>ABS(F12-F30)</f>
        <v>4</v>
      </c>
      <c r="X158" s="263" t="str">
        <f>IF(W158&gt;3,"significant","nonsignificant")</f>
        <v>significant</v>
      </c>
      <c r="Y158" s="261"/>
      <c r="Z158" s="261"/>
      <c r="AA158" s="261"/>
      <c r="AB158" s="261"/>
      <c r="AC158" s="261"/>
      <c r="AD158" s="261"/>
      <c r="AE158" s="261"/>
      <c r="AF158" s="261"/>
      <c r="AG158" s="261"/>
      <c r="AH158" s="261"/>
      <c r="AI158" s="261"/>
      <c r="AJ158" s="261"/>
      <c r="AK158" s="261"/>
      <c r="AL158" s="261"/>
      <c r="AM158" s="261"/>
      <c r="AN158" s="261"/>
      <c r="AO158" s="261"/>
      <c r="AP158" s="261"/>
      <c r="AQ158" s="261"/>
      <c r="AR158" s="261"/>
      <c r="AS158" s="261"/>
      <c r="AT158" s="261"/>
      <c r="AU158" s="261"/>
      <c r="AV158" s="261"/>
      <c r="AW158" s="261"/>
      <c r="AX158" s="261"/>
      <c r="AY158" s="261"/>
      <c r="AZ158" s="261"/>
      <c r="BA158" s="261"/>
      <c r="BB158" s="261"/>
      <c r="BC158" s="261"/>
      <c r="BD158" s="261"/>
      <c r="BE158" s="261"/>
      <c r="BF158" s="261"/>
      <c r="BG158" s="261"/>
      <c r="BH158" s="261"/>
      <c r="BI158" s="261"/>
      <c r="BJ158" s="261"/>
      <c r="BK158" s="261"/>
      <c r="BL158" s="261"/>
      <c r="BM158" s="261"/>
      <c r="BN158" s="261"/>
      <c r="BO158" s="261"/>
      <c r="BP158" s="261"/>
      <c r="BQ158" s="261"/>
      <c r="BR158" s="261"/>
      <c r="BS158" s="264"/>
      <c r="BT158" s="264"/>
      <c r="BU158" s="264"/>
      <c r="BV158" s="264"/>
      <c r="BW158" s="264"/>
      <c r="BX158" s="264"/>
      <c r="BY158" s="264"/>
      <c r="BZ158" s="264"/>
      <c r="CA158" s="264"/>
      <c r="CB158" s="264"/>
      <c r="CC158" s="264"/>
      <c r="CD158" s="264"/>
      <c r="CE158" s="264"/>
      <c r="CF158" s="264"/>
      <c r="CG158" s="264"/>
    </row>
    <row r="159" spans="2:85" s="35" customFormat="1" ht="16.5" customHeight="1">
      <c r="B159" s="155"/>
      <c r="C159" s="35" t="str">
        <f>"Digit Span Forward ("&amp;F31&amp;")  "&amp;V159&amp;"  Digit Span Backward ("&amp;F32&amp;")"</f>
        <v>Digit Span Forward (18)  &gt;  Digit Span Backward (17)</v>
      </c>
      <c r="D159" s="155"/>
      <c r="E159" s="155"/>
      <c r="F159" s="155"/>
      <c r="G159" s="155"/>
      <c r="H159" s="155"/>
      <c r="I159" s="155"/>
      <c r="J159" s="155"/>
      <c r="K159" s="156" t="str">
        <f>IF(OR(F31="",F32=""),"",W159&amp;" point "&amp;X159&amp;" difference")</f>
        <v>1 point nonsignificant difference</v>
      </c>
      <c r="L159" s="155"/>
      <c r="M159" s="155"/>
      <c r="N159" s="155"/>
      <c r="O159" s="155"/>
      <c r="P159" s="155"/>
      <c r="Q159" s="155"/>
      <c r="R159" s="157"/>
      <c r="S159" s="263"/>
      <c r="T159" s="262" t="s">
        <v>194</v>
      </c>
      <c r="U159" s="263">
        <f>IF(F31=F32,1,IF(F31&gt;F32,2,3))</f>
        <v>2</v>
      </c>
      <c r="V159" s="263" t="str">
        <f t="shared" si="10"/>
        <v>&gt;</v>
      </c>
      <c r="W159" s="263">
        <f>ABS(F31-F32)</f>
        <v>1</v>
      </c>
      <c r="X159" s="263" t="str">
        <f>IF(W159&gt;4,"significant","nonsignificant")</f>
        <v>nonsignificant</v>
      </c>
      <c r="Y159" s="261"/>
      <c r="Z159" s="261"/>
      <c r="AA159" s="261"/>
      <c r="AB159" s="261"/>
      <c r="AC159" s="261"/>
      <c r="AD159" s="261"/>
      <c r="AE159" s="261"/>
      <c r="AF159" s="261"/>
      <c r="AG159" s="261"/>
      <c r="AH159" s="261"/>
      <c r="AI159" s="261"/>
      <c r="AJ159" s="261"/>
      <c r="AK159" s="261"/>
      <c r="AL159" s="261"/>
      <c r="AM159" s="261"/>
      <c r="AN159" s="261"/>
      <c r="AO159" s="261"/>
      <c r="AP159" s="261"/>
      <c r="AQ159" s="261"/>
      <c r="AR159" s="261"/>
      <c r="AS159" s="261"/>
      <c r="AT159" s="261"/>
      <c r="AU159" s="261"/>
      <c r="AV159" s="261"/>
      <c r="AW159" s="261"/>
      <c r="AX159" s="261"/>
      <c r="AY159" s="261"/>
      <c r="AZ159" s="261"/>
      <c r="BA159" s="261"/>
      <c r="BB159" s="261"/>
      <c r="BC159" s="261"/>
      <c r="BD159" s="261"/>
      <c r="BE159" s="261"/>
      <c r="BF159" s="261"/>
      <c r="BG159" s="261"/>
      <c r="BH159" s="261"/>
      <c r="BI159" s="261"/>
      <c r="BJ159" s="261"/>
      <c r="BK159" s="261"/>
      <c r="BL159" s="261"/>
      <c r="BM159" s="261"/>
      <c r="BN159" s="261"/>
      <c r="BO159" s="261"/>
      <c r="BP159" s="261"/>
      <c r="BQ159" s="261"/>
      <c r="BR159" s="261"/>
      <c r="BS159" s="264"/>
      <c r="BT159" s="264"/>
      <c r="BU159" s="264"/>
      <c r="BV159" s="264"/>
      <c r="BW159" s="264"/>
      <c r="BX159" s="264"/>
      <c r="BY159" s="264"/>
      <c r="BZ159" s="264"/>
      <c r="CA159" s="264"/>
      <c r="CB159" s="264"/>
      <c r="CC159" s="264"/>
      <c r="CD159" s="264"/>
      <c r="CE159" s="264"/>
      <c r="CF159" s="264"/>
      <c r="CG159" s="264"/>
    </row>
    <row r="160" spans="2:85" s="35" customFormat="1" ht="16.5" customHeight="1">
      <c r="C160" s="35" t="str">
        <f>"Digit Span Forward ("&amp;F31&amp;")  "&amp;V160&amp;"  Digit Span Sequencing ("&amp;F33&amp;")"</f>
        <v>Digit Span Forward (18)  &gt;  Digit Span Sequencing (13)</v>
      </c>
      <c r="D160" s="155"/>
      <c r="E160" s="155"/>
      <c r="F160" s="155"/>
      <c r="G160" s="155"/>
      <c r="H160" s="155"/>
      <c r="I160" s="155"/>
      <c r="J160" s="155"/>
      <c r="K160" s="156" t="str">
        <f>IF(OR(F32="",F33=""),"",W160&amp;" point "&amp;X160&amp;" difference")</f>
        <v>5 point significant difference</v>
      </c>
      <c r="L160" s="155"/>
      <c r="M160" s="155"/>
      <c r="N160" s="155"/>
      <c r="O160" s="155"/>
      <c r="P160" s="155"/>
      <c r="Q160" s="155"/>
      <c r="R160" s="157"/>
      <c r="S160" s="263"/>
      <c r="T160" s="262" t="s">
        <v>195</v>
      </c>
      <c r="U160" s="263">
        <f>IF(F31=F33,1,IF(F31&gt;F33,2,3))</f>
        <v>2</v>
      </c>
      <c r="V160" s="263" t="str">
        <f t="shared" si="10"/>
        <v>&gt;</v>
      </c>
      <c r="W160" s="263">
        <f>ABS(F31-F33)</f>
        <v>5</v>
      </c>
      <c r="X160" s="263" t="str">
        <f>IF(W160&gt;4,"significant","nonsignificant")</f>
        <v>significant</v>
      </c>
      <c r="Y160" s="261"/>
      <c r="Z160" s="261"/>
      <c r="AA160" s="261"/>
      <c r="AB160" s="261"/>
      <c r="AC160" s="261"/>
      <c r="AD160" s="261"/>
      <c r="AE160" s="261"/>
      <c r="AF160" s="261"/>
      <c r="AG160" s="261"/>
      <c r="AH160" s="261"/>
      <c r="AI160" s="261"/>
      <c r="AJ160" s="261"/>
      <c r="AK160" s="261"/>
      <c r="AL160" s="261"/>
      <c r="AM160" s="261"/>
      <c r="AN160" s="261"/>
      <c r="AO160" s="261"/>
      <c r="AP160" s="261"/>
      <c r="AQ160" s="261"/>
      <c r="AR160" s="261"/>
      <c r="AS160" s="261"/>
      <c r="AT160" s="261"/>
      <c r="AU160" s="261"/>
      <c r="AV160" s="261"/>
      <c r="AW160" s="261"/>
      <c r="AX160" s="261"/>
      <c r="AY160" s="261"/>
      <c r="AZ160" s="261"/>
      <c r="BA160" s="261"/>
      <c r="BB160" s="261"/>
      <c r="BC160" s="261"/>
      <c r="BD160" s="261"/>
      <c r="BE160" s="261"/>
      <c r="BF160" s="261"/>
      <c r="BG160" s="261"/>
      <c r="BH160" s="261"/>
      <c r="BI160" s="261"/>
      <c r="BJ160" s="261"/>
      <c r="BK160" s="261"/>
      <c r="BL160" s="261"/>
      <c r="BM160" s="261"/>
      <c r="BN160" s="261"/>
      <c r="BO160" s="261"/>
      <c r="BP160" s="261"/>
      <c r="BQ160" s="261"/>
      <c r="BR160" s="261"/>
      <c r="BS160" s="264"/>
      <c r="BT160" s="264"/>
      <c r="BU160" s="264"/>
      <c r="BV160" s="264"/>
      <c r="BW160" s="264"/>
      <c r="BX160" s="264"/>
      <c r="BY160" s="264"/>
      <c r="BZ160" s="264"/>
      <c r="CA160" s="264"/>
      <c r="CB160" s="264"/>
      <c r="CC160" s="264"/>
      <c r="CD160" s="264"/>
      <c r="CE160" s="264"/>
      <c r="CF160" s="264"/>
      <c r="CG160" s="264"/>
    </row>
    <row r="161" spans="2:85" s="35" customFormat="1" ht="16.5" customHeight="1">
      <c r="B161" s="155"/>
      <c r="C161" s="35" t="str">
        <f>"Digit Span Backward ("&amp;F32&amp;")  "&amp;V161&amp;"  Digit Span Sequencing ("&amp;F33&amp;")"</f>
        <v>Digit Span Backward (17)  &gt;  Digit Span Sequencing (13)</v>
      </c>
      <c r="D161" s="155"/>
      <c r="E161" s="155"/>
      <c r="F161" s="155"/>
      <c r="G161" s="155"/>
      <c r="H161" s="155"/>
      <c r="I161" s="155"/>
      <c r="J161" s="155"/>
      <c r="K161" s="156" t="str">
        <f>IF(OR(G35="",G36=""),"",W161&amp;" point "&amp;X161&amp;" difference")</f>
        <v>4 point nonsignificant difference</v>
      </c>
      <c r="L161" s="155"/>
      <c r="M161" s="155"/>
      <c r="N161" s="155"/>
      <c r="O161" s="155"/>
      <c r="P161" s="155"/>
      <c r="Q161" s="155"/>
      <c r="R161" s="157"/>
      <c r="S161" s="263"/>
      <c r="T161" s="262" t="s">
        <v>196</v>
      </c>
      <c r="U161" s="263">
        <f>IF(F32=F33,1,IF(F32&gt;F33,2,3))</f>
        <v>2</v>
      </c>
      <c r="V161" s="263" t="str">
        <f t="shared" si="10"/>
        <v>&gt;</v>
      </c>
      <c r="W161" s="263">
        <f>ABS(F32-F33)</f>
        <v>4</v>
      </c>
      <c r="X161" s="263" t="str">
        <f>IF(W161&gt;4,"significant","nonsignificant")</f>
        <v>nonsignificant</v>
      </c>
      <c r="Y161" s="261"/>
      <c r="Z161" s="261"/>
      <c r="AA161" s="261"/>
      <c r="AB161" s="261"/>
      <c r="AC161" s="261"/>
      <c r="AD161" s="261"/>
      <c r="AE161" s="261"/>
      <c r="AF161" s="261"/>
      <c r="AG161" s="261"/>
      <c r="AH161" s="261"/>
      <c r="AI161" s="261"/>
      <c r="AJ161" s="261"/>
      <c r="AK161" s="261"/>
      <c r="AL161" s="261"/>
      <c r="AM161" s="261"/>
      <c r="AN161" s="261"/>
      <c r="AO161" s="261"/>
      <c r="AP161" s="261"/>
      <c r="AQ161" s="261"/>
      <c r="AR161" s="261"/>
      <c r="AS161" s="261"/>
      <c r="AT161" s="261"/>
      <c r="AU161" s="261"/>
      <c r="AV161" s="261"/>
      <c r="AW161" s="261"/>
      <c r="AX161" s="261"/>
      <c r="AY161" s="261"/>
      <c r="AZ161" s="261"/>
      <c r="BA161" s="261"/>
      <c r="BB161" s="261"/>
      <c r="BC161" s="261"/>
      <c r="BD161" s="261"/>
      <c r="BE161" s="261"/>
      <c r="BF161" s="261"/>
      <c r="BG161" s="261"/>
      <c r="BH161" s="261"/>
      <c r="BI161" s="261"/>
      <c r="BJ161" s="261"/>
      <c r="BK161" s="261"/>
      <c r="BL161" s="261"/>
      <c r="BM161" s="261"/>
      <c r="BN161" s="261"/>
      <c r="BO161" s="261"/>
      <c r="BP161" s="261"/>
      <c r="BQ161" s="261"/>
      <c r="BR161" s="261"/>
      <c r="BS161" s="264"/>
      <c r="BT161" s="264"/>
      <c r="BU161" s="264"/>
      <c r="BV161" s="264"/>
      <c r="BW161" s="264"/>
      <c r="BX161" s="264"/>
      <c r="BY161" s="264"/>
      <c r="BZ161" s="264"/>
      <c r="CA161" s="264"/>
      <c r="CB161" s="264"/>
      <c r="CC161" s="264"/>
      <c r="CD161" s="264"/>
      <c r="CE161" s="264"/>
      <c r="CF161" s="264"/>
      <c r="CG161" s="264"/>
    </row>
    <row r="162" spans="2:85" s="35" customFormat="1" ht="16.5" customHeight="1">
      <c r="B162" s="155"/>
      <c r="C162" s="35" t="str">
        <f>"Longest Digit Span Forward ("&amp;G34&amp;")  "&amp;V162&amp;"  Longest Span Backward ("&amp;G35&amp;")"</f>
        <v>Longest Digit Span Forward (9)  &gt;  Longest Span Backward (8)</v>
      </c>
      <c r="D162" s="155"/>
      <c r="E162" s="155"/>
      <c r="F162" s="155"/>
      <c r="G162" s="155"/>
      <c r="H162" s="155"/>
      <c r="I162" s="155"/>
      <c r="J162" s="155"/>
      <c r="K162" s="156" t="str">
        <f>IF(OR(G34="",G35=""),"",W162&amp;" point "&amp;X162&amp;" difference")</f>
        <v>1 point nonsignificant difference</v>
      </c>
      <c r="L162" s="155"/>
      <c r="M162" s="155"/>
      <c r="N162" s="155"/>
      <c r="O162" s="155"/>
      <c r="P162" s="155"/>
      <c r="Q162" s="155"/>
      <c r="R162" s="157"/>
      <c r="S162" s="263"/>
      <c r="T162" s="262" t="s">
        <v>197</v>
      </c>
      <c r="U162" s="263">
        <f>IF(G34=G35,1,IF(G34&gt;G35,2,3))</f>
        <v>2</v>
      </c>
      <c r="V162" s="263" t="str">
        <f t="shared" si="10"/>
        <v>&gt;</v>
      </c>
      <c r="W162" s="263">
        <f>ABS(G34-G35)</f>
        <v>1</v>
      </c>
      <c r="X162" s="263" t="str">
        <f>IF(W162&gt;3,"significant","nonsignificant")</f>
        <v>nonsignificant</v>
      </c>
      <c r="Y162" s="261"/>
      <c r="Z162" s="261"/>
      <c r="AA162" s="261"/>
      <c r="AB162" s="261"/>
      <c r="AC162" s="261"/>
      <c r="AD162" s="261"/>
      <c r="AE162" s="261"/>
      <c r="AF162" s="261"/>
      <c r="AG162" s="261"/>
      <c r="AH162" s="261"/>
      <c r="AI162" s="261"/>
      <c r="AJ162" s="261"/>
      <c r="AK162" s="261"/>
      <c r="AL162" s="261"/>
      <c r="AM162" s="261"/>
      <c r="AN162" s="261"/>
      <c r="AO162" s="261"/>
      <c r="AP162" s="261"/>
      <c r="AQ162" s="261"/>
      <c r="AR162" s="261"/>
      <c r="AS162" s="261"/>
      <c r="AT162" s="261"/>
      <c r="AU162" s="261"/>
      <c r="AV162" s="261"/>
      <c r="AW162" s="261"/>
      <c r="AX162" s="261"/>
      <c r="AY162" s="261"/>
      <c r="AZ162" s="261"/>
      <c r="BA162" s="261"/>
      <c r="BB162" s="261"/>
      <c r="BC162" s="261"/>
      <c r="BD162" s="261"/>
      <c r="BE162" s="261"/>
      <c r="BF162" s="261"/>
      <c r="BG162" s="261"/>
      <c r="BH162" s="261"/>
      <c r="BI162" s="261"/>
      <c r="BJ162" s="261"/>
      <c r="BK162" s="261"/>
      <c r="BL162" s="261"/>
      <c r="BM162" s="261"/>
      <c r="BN162" s="261"/>
      <c r="BO162" s="261"/>
      <c r="BP162" s="261"/>
      <c r="BQ162" s="261"/>
      <c r="BR162" s="261"/>
      <c r="BS162" s="264"/>
      <c r="BT162" s="264"/>
      <c r="BU162" s="264"/>
      <c r="BV162" s="264"/>
      <c r="BW162" s="264"/>
      <c r="BX162" s="264"/>
      <c r="BY162" s="264"/>
      <c r="BZ162" s="264"/>
      <c r="CA162" s="264"/>
      <c r="CB162" s="264"/>
      <c r="CC162" s="264"/>
      <c r="CD162" s="264"/>
      <c r="CE162" s="264"/>
      <c r="CF162" s="264"/>
      <c r="CG162" s="264"/>
    </row>
    <row r="163" spans="2:85" s="35" customFormat="1" ht="16.5" customHeight="1">
      <c r="B163" s="155"/>
      <c r="C163" s="35" t="str">
        <f>"Longest Digit Span Forward ("&amp;G34&amp;")  "&amp;V163&amp;"  Longest Span Sequencing ("&amp;G36&amp;")"</f>
        <v>Longest Digit Span Forward (9)  &gt;  Longest Span Sequencing (7)</v>
      </c>
      <c r="D163" s="155"/>
      <c r="E163" s="155"/>
      <c r="F163" s="155"/>
      <c r="G163" s="155"/>
      <c r="H163" s="155"/>
      <c r="I163" s="155"/>
      <c r="J163" s="155"/>
      <c r="K163" s="156" t="str">
        <f>IF(OR(G34="",G36=""),"",W163&amp;" point "&amp;X163&amp;" difference")</f>
        <v>2 point nonsignificant difference</v>
      </c>
      <c r="L163" s="155"/>
      <c r="M163" s="155"/>
      <c r="N163" s="155"/>
      <c r="O163" s="155"/>
      <c r="P163" s="155"/>
      <c r="Q163" s="155"/>
      <c r="R163" s="157"/>
      <c r="S163" s="263"/>
      <c r="T163" s="262" t="s">
        <v>198</v>
      </c>
      <c r="U163" s="263">
        <f>IF(G34=G36,1,IF(G34&gt;G36,2,3))</f>
        <v>2</v>
      </c>
      <c r="V163" s="263" t="str">
        <f t="shared" si="10"/>
        <v>&gt;</v>
      </c>
      <c r="W163" s="263">
        <f>ABS(G34-G36)</f>
        <v>2</v>
      </c>
      <c r="X163" s="263" t="str">
        <f>IF(W163&gt;3,"significant","nonsignificant")</f>
        <v>nonsignificant</v>
      </c>
      <c r="Y163" s="261"/>
      <c r="Z163" s="261"/>
      <c r="AA163" s="261"/>
      <c r="AB163" s="261"/>
      <c r="AC163" s="261"/>
      <c r="AD163" s="261"/>
      <c r="AE163" s="261"/>
      <c r="AF163" s="261"/>
      <c r="AG163" s="261"/>
      <c r="AH163" s="261"/>
      <c r="AI163" s="261"/>
      <c r="AJ163" s="261"/>
      <c r="AK163" s="261"/>
      <c r="AL163" s="261"/>
      <c r="AM163" s="261"/>
      <c r="AN163" s="261"/>
      <c r="AO163" s="261"/>
      <c r="AP163" s="261"/>
      <c r="AQ163" s="261"/>
      <c r="AR163" s="261"/>
      <c r="AS163" s="261"/>
      <c r="AT163" s="261"/>
      <c r="AU163" s="261"/>
      <c r="AV163" s="261"/>
      <c r="AW163" s="261"/>
      <c r="AX163" s="261"/>
      <c r="AY163" s="261"/>
      <c r="AZ163" s="261"/>
      <c r="BA163" s="261"/>
      <c r="BB163" s="261"/>
      <c r="BC163" s="261"/>
      <c r="BD163" s="261"/>
      <c r="BE163" s="261"/>
      <c r="BF163" s="261"/>
      <c r="BG163" s="261"/>
      <c r="BH163" s="261"/>
      <c r="BI163" s="261"/>
      <c r="BJ163" s="261"/>
      <c r="BK163" s="261"/>
      <c r="BL163" s="261"/>
      <c r="BM163" s="261"/>
      <c r="BN163" s="261"/>
      <c r="BO163" s="261"/>
      <c r="BP163" s="261"/>
      <c r="BQ163" s="261"/>
      <c r="BR163" s="261"/>
      <c r="BS163" s="264"/>
      <c r="BT163" s="264"/>
      <c r="BU163" s="264"/>
      <c r="BV163" s="264"/>
      <c r="BW163" s="264"/>
      <c r="BX163" s="264"/>
      <c r="BY163" s="264"/>
      <c r="BZ163" s="264"/>
      <c r="CA163" s="264"/>
      <c r="CB163" s="264"/>
      <c r="CC163" s="264"/>
      <c r="CD163" s="264"/>
      <c r="CE163" s="264"/>
      <c r="CF163" s="264"/>
      <c r="CG163" s="264"/>
    </row>
    <row r="164" spans="2:85" s="35" customFormat="1" ht="16.5" customHeight="1">
      <c r="B164" s="155"/>
      <c r="C164" s="35" t="str">
        <f>"Longest Digit Span Backward ("&amp;G35&amp;")  "&amp;V164&amp;"  Longest Span Sequencing ("&amp;G36&amp;")"</f>
        <v>Longest Digit Span Backward (8)  &gt;  Longest Span Sequencing (7)</v>
      </c>
      <c r="D164" s="155"/>
      <c r="E164" s="155"/>
      <c r="F164" s="155"/>
      <c r="G164" s="155"/>
      <c r="H164" s="155"/>
      <c r="I164" s="155"/>
      <c r="J164" s="155"/>
      <c r="K164" s="156" t="str">
        <f>IF(OR(G35="",G36=""),"",W164&amp;" point "&amp;X164&amp;" difference")</f>
        <v>1 point nonsignificant difference</v>
      </c>
      <c r="L164" s="155"/>
      <c r="M164" s="155"/>
      <c r="N164" s="155"/>
      <c r="O164" s="155"/>
      <c r="P164" s="155"/>
      <c r="Q164" s="155"/>
      <c r="R164" s="157"/>
      <c r="S164" s="263"/>
      <c r="T164" s="262" t="s">
        <v>199</v>
      </c>
      <c r="U164" s="263">
        <f>IF(G35=G36,1,IF(G35&gt;G36,2,3))</f>
        <v>2</v>
      </c>
      <c r="V164" s="263" t="str">
        <f t="shared" si="10"/>
        <v>&gt;</v>
      </c>
      <c r="W164" s="263">
        <f>ABS(G35-G36)</f>
        <v>1</v>
      </c>
      <c r="X164" s="263" t="str">
        <f>IF(W164&gt;3,"significant","nonsignificant")</f>
        <v>nonsignificant</v>
      </c>
      <c r="Y164" s="261"/>
      <c r="Z164" s="261"/>
      <c r="AA164" s="261"/>
      <c r="AB164" s="261"/>
      <c r="AC164" s="261"/>
      <c r="AD164" s="261"/>
      <c r="AE164" s="261"/>
      <c r="AF164" s="261"/>
      <c r="AG164" s="261"/>
      <c r="AH164" s="261"/>
      <c r="AI164" s="261"/>
      <c r="AJ164" s="261"/>
      <c r="AK164" s="261"/>
      <c r="AL164" s="261"/>
      <c r="AM164" s="261"/>
      <c r="AN164" s="261"/>
      <c r="AO164" s="261"/>
      <c r="AP164" s="261"/>
      <c r="AQ164" s="261"/>
      <c r="AR164" s="261"/>
      <c r="AS164" s="261"/>
      <c r="AT164" s="261"/>
      <c r="AU164" s="261"/>
      <c r="AV164" s="261"/>
      <c r="AW164" s="261"/>
      <c r="AX164" s="261"/>
      <c r="AY164" s="261"/>
      <c r="AZ164" s="261"/>
      <c r="BA164" s="261"/>
      <c r="BB164" s="261"/>
      <c r="BC164" s="261"/>
      <c r="BD164" s="261"/>
      <c r="BE164" s="261"/>
      <c r="BF164" s="261"/>
      <c r="BG164" s="261"/>
      <c r="BH164" s="261"/>
      <c r="BI164" s="261"/>
      <c r="BJ164" s="261"/>
      <c r="BK164" s="261"/>
      <c r="BL164" s="261"/>
      <c r="BM164" s="261"/>
      <c r="BN164" s="261"/>
      <c r="BO164" s="261"/>
      <c r="BP164" s="261"/>
      <c r="BQ164" s="261"/>
      <c r="BR164" s="261"/>
      <c r="BS164" s="264"/>
      <c r="BT164" s="264"/>
      <c r="BU164" s="264"/>
      <c r="BV164" s="264"/>
      <c r="BW164" s="264"/>
      <c r="BX164" s="264"/>
      <c r="BY164" s="264"/>
      <c r="BZ164" s="264"/>
      <c r="CA164" s="264"/>
      <c r="CB164" s="264"/>
      <c r="CC164" s="264"/>
      <c r="CD164" s="264"/>
      <c r="CE164" s="264"/>
      <c r="CF164" s="264"/>
      <c r="CG164" s="264"/>
    </row>
    <row r="165" spans="2:85" ht="12">
      <c r="B165" s="37"/>
      <c r="C165" s="37"/>
      <c r="D165" s="37"/>
      <c r="E165" s="37"/>
      <c r="F165" s="37"/>
      <c r="G165" s="37"/>
      <c r="H165" s="37"/>
      <c r="I165" s="37"/>
      <c r="J165" s="37"/>
      <c r="K165" s="37"/>
      <c r="L165" s="37"/>
      <c r="M165" s="37"/>
      <c r="N165" s="37"/>
      <c r="O165" s="37"/>
      <c r="P165" s="37"/>
      <c r="Q165" s="37"/>
      <c r="R165" s="131"/>
      <c r="S165" s="255"/>
      <c r="T165" s="249"/>
      <c r="U165" s="249"/>
      <c r="V165" s="249"/>
      <c r="W165" s="249"/>
      <c r="X165" s="249"/>
      <c r="Y165" s="249"/>
      <c r="Z165" s="249"/>
      <c r="AA165" s="249"/>
      <c r="AB165" s="249"/>
      <c r="AC165" s="249"/>
      <c r="AD165" s="249"/>
      <c r="AE165" s="249"/>
      <c r="AF165" s="249"/>
      <c r="AG165" s="249"/>
      <c r="AH165" s="249"/>
      <c r="AI165" s="249"/>
      <c r="AJ165" s="249"/>
      <c r="AK165" s="249"/>
      <c r="AL165" s="249"/>
      <c r="AM165" s="249"/>
      <c r="AN165" s="249"/>
      <c r="AO165" s="249"/>
      <c r="AP165" s="249"/>
      <c r="AQ165" s="249"/>
      <c r="AR165" s="249"/>
      <c r="AS165" s="249"/>
      <c r="AT165" s="249"/>
      <c r="AU165" s="249"/>
      <c r="AV165" s="249"/>
      <c r="AW165" s="249"/>
      <c r="AX165" s="249"/>
      <c r="AY165" s="249"/>
      <c r="AZ165" s="249"/>
      <c r="BA165" s="249"/>
      <c r="BB165" s="249"/>
      <c r="BC165" s="249"/>
      <c r="BD165" s="249"/>
      <c r="BE165" s="249"/>
      <c r="BF165" s="249"/>
      <c r="BG165" s="249"/>
      <c r="BH165" s="249"/>
      <c r="BI165" s="249"/>
      <c r="BJ165" s="249"/>
      <c r="BK165" s="249"/>
      <c r="BL165" s="249"/>
      <c r="BM165" s="249"/>
      <c r="BN165" s="249"/>
      <c r="BO165" s="249"/>
      <c r="BP165" s="249"/>
      <c r="BQ165" s="249"/>
      <c r="BR165" s="249"/>
      <c r="BS165" s="260"/>
      <c r="BT165" s="260"/>
      <c r="BU165" s="260"/>
      <c r="BV165" s="260"/>
      <c r="BW165" s="260"/>
      <c r="BX165" s="260"/>
      <c r="BY165" s="260"/>
      <c r="BZ165" s="260"/>
      <c r="CA165" s="260"/>
      <c r="CB165" s="260"/>
      <c r="CC165" s="260"/>
      <c r="CD165" s="260"/>
      <c r="CE165" s="260"/>
      <c r="CF165" s="260"/>
      <c r="CG165" s="260"/>
    </row>
    <row r="166" spans="2:85" ht="12">
      <c r="B166" s="316" t="s">
        <v>200</v>
      </c>
      <c r="C166" s="316"/>
      <c r="D166" s="316"/>
      <c r="E166" s="316"/>
      <c r="F166" s="316"/>
      <c r="G166" s="316"/>
      <c r="H166" s="316"/>
      <c r="I166" s="316"/>
      <c r="J166" s="316"/>
      <c r="K166" s="316"/>
      <c r="L166" s="316"/>
      <c r="M166" s="316"/>
      <c r="N166" s="316"/>
      <c r="O166" s="316"/>
      <c r="P166" s="316"/>
      <c r="Q166" s="316"/>
      <c r="R166" s="131"/>
      <c r="S166" s="255"/>
      <c r="T166" s="249"/>
      <c r="U166" s="249"/>
      <c r="V166" s="249"/>
      <c r="W166" s="249"/>
      <c r="X166" s="249"/>
      <c r="Y166" s="249"/>
      <c r="Z166" s="249"/>
      <c r="AA166" s="249"/>
      <c r="AB166" s="249"/>
      <c r="AC166" s="249"/>
      <c r="AD166" s="249"/>
      <c r="AE166" s="249"/>
      <c r="AF166" s="249"/>
      <c r="AG166" s="249"/>
      <c r="AH166" s="249"/>
      <c r="AI166" s="249"/>
      <c r="AJ166" s="249"/>
      <c r="AK166" s="249"/>
      <c r="AL166" s="249"/>
      <c r="AM166" s="249"/>
      <c r="AN166" s="249"/>
      <c r="AO166" s="249"/>
      <c r="AP166" s="249"/>
      <c r="AQ166" s="249"/>
      <c r="AR166" s="249"/>
      <c r="AS166" s="249"/>
      <c r="AT166" s="249"/>
      <c r="AU166" s="249"/>
      <c r="AV166" s="249"/>
      <c r="AW166" s="249"/>
      <c r="AX166" s="249"/>
      <c r="AY166" s="249"/>
      <c r="AZ166" s="249"/>
      <c r="BA166" s="249"/>
      <c r="BB166" s="249"/>
      <c r="BC166" s="249"/>
      <c r="BD166" s="249"/>
      <c r="BE166" s="249"/>
      <c r="BF166" s="249"/>
      <c r="BG166" s="249"/>
      <c r="BH166" s="249"/>
      <c r="BI166" s="249"/>
      <c r="BJ166" s="249"/>
      <c r="BK166" s="249"/>
      <c r="BL166" s="249"/>
      <c r="BM166" s="249"/>
      <c r="BN166" s="249"/>
      <c r="BO166" s="249"/>
      <c r="BP166" s="249"/>
      <c r="BQ166" s="249"/>
      <c r="BR166" s="249"/>
      <c r="BS166" s="260"/>
      <c r="BT166" s="260"/>
      <c r="BU166" s="260"/>
      <c r="BV166" s="260"/>
      <c r="BW166" s="260"/>
      <c r="BX166" s="260"/>
      <c r="BY166" s="260"/>
      <c r="BZ166" s="260"/>
      <c r="CA166" s="260"/>
      <c r="CB166" s="260"/>
      <c r="CC166" s="260"/>
      <c r="CD166" s="260"/>
      <c r="CE166" s="260"/>
      <c r="CF166" s="260"/>
      <c r="CG166" s="260"/>
    </row>
    <row r="167" spans="2:85" ht="12">
      <c r="B167" s="37"/>
      <c r="C167" s="37"/>
      <c r="D167" s="37"/>
      <c r="E167" s="37"/>
      <c r="F167" s="37"/>
      <c r="G167" s="37"/>
      <c r="H167" s="37"/>
      <c r="I167" s="37"/>
      <c r="J167" s="37"/>
      <c r="K167" s="37"/>
      <c r="L167" s="37"/>
      <c r="M167" s="37"/>
      <c r="N167" s="37"/>
      <c r="O167" s="37"/>
      <c r="P167" s="37"/>
      <c r="Q167" s="37"/>
      <c r="R167" s="131"/>
      <c r="S167" s="255"/>
      <c r="T167" s="249"/>
      <c r="U167" s="249"/>
      <c r="V167" s="249"/>
      <c r="W167" s="249"/>
      <c r="X167" s="249"/>
      <c r="Y167" s="249"/>
      <c r="Z167" s="249"/>
      <c r="AA167" s="249"/>
      <c r="AB167" s="249"/>
      <c r="AC167" s="249"/>
      <c r="AD167" s="249"/>
      <c r="AE167" s="249"/>
      <c r="AF167" s="249"/>
      <c r="AG167" s="249"/>
      <c r="AH167" s="249"/>
      <c r="AI167" s="249"/>
      <c r="AJ167" s="249"/>
      <c r="AK167" s="249"/>
      <c r="AL167" s="249"/>
      <c r="AM167" s="249"/>
      <c r="AN167" s="249"/>
      <c r="AO167" s="249"/>
      <c r="AP167" s="249"/>
      <c r="AQ167" s="249"/>
      <c r="AR167" s="249"/>
      <c r="AS167" s="249"/>
      <c r="AT167" s="249"/>
      <c r="AU167" s="249"/>
      <c r="AV167" s="249"/>
      <c r="AW167" s="249"/>
      <c r="AX167" s="249"/>
      <c r="AY167" s="249"/>
      <c r="AZ167" s="249"/>
      <c r="BA167" s="249"/>
      <c r="BB167" s="249"/>
      <c r="BC167" s="249"/>
      <c r="BD167" s="249"/>
      <c r="BE167" s="249"/>
      <c r="BF167" s="249"/>
      <c r="BG167" s="249"/>
      <c r="BH167" s="249"/>
      <c r="BI167" s="249"/>
      <c r="BJ167" s="249"/>
      <c r="BK167" s="249"/>
      <c r="BL167" s="249"/>
      <c r="BM167" s="249"/>
      <c r="BN167" s="249"/>
      <c r="BO167" s="249"/>
      <c r="BP167" s="249"/>
      <c r="BQ167" s="249"/>
      <c r="BR167" s="249"/>
      <c r="BS167" s="260"/>
      <c r="BT167" s="260"/>
      <c r="BU167" s="260"/>
      <c r="BV167" s="260"/>
      <c r="BW167" s="260"/>
      <c r="BX167" s="260"/>
      <c r="BY167" s="260"/>
      <c r="BZ167" s="260"/>
      <c r="CA167" s="260"/>
      <c r="CB167" s="260"/>
      <c r="CC167" s="260"/>
      <c r="CD167" s="260"/>
      <c r="CE167" s="260"/>
      <c r="CF167" s="260"/>
      <c r="CG167" s="260"/>
    </row>
    <row r="168" spans="2:85" ht="12">
      <c r="B168" s="316" t="s">
        <v>201</v>
      </c>
      <c r="C168" s="316"/>
      <c r="D168" s="316"/>
      <c r="E168" s="316"/>
      <c r="F168" s="316"/>
      <c r="G168" s="316"/>
      <c r="H168" s="316"/>
      <c r="I168" s="316"/>
      <c r="J168" s="316"/>
      <c r="K168" s="316"/>
      <c r="L168" s="316"/>
      <c r="M168" s="316"/>
      <c r="N168" s="316"/>
      <c r="O168" s="316"/>
      <c r="P168" s="316"/>
      <c r="Q168" s="316"/>
      <c r="R168" s="131"/>
      <c r="S168" s="255"/>
      <c r="T168" s="249"/>
      <c r="U168" s="249"/>
      <c r="V168" s="249"/>
      <c r="W168" s="249"/>
      <c r="X168" s="249"/>
      <c r="Y168" s="249"/>
      <c r="Z168" s="249"/>
      <c r="AA168" s="249"/>
      <c r="AB168" s="249"/>
      <c r="AC168" s="249"/>
      <c r="AD168" s="249"/>
      <c r="AE168" s="249"/>
      <c r="AF168" s="249"/>
      <c r="AG168" s="249"/>
      <c r="AH168" s="249"/>
      <c r="AI168" s="249"/>
      <c r="AJ168" s="249"/>
      <c r="AK168" s="249"/>
      <c r="AL168" s="249"/>
      <c r="AM168" s="249"/>
      <c r="AN168" s="249"/>
      <c r="AO168" s="249"/>
      <c r="AP168" s="249"/>
      <c r="AQ168" s="249"/>
      <c r="AR168" s="249"/>
      <c r="AS168" s="249"/>
      <c r="AT168" s="249"/>
      <c r="AU168" s="249"/>
      <c r="AV168" s="249"/>
      <c r="AW168" s="249"/>
      <c r="AX168" s="249"/>
      <c r="AY168" s="249"/>
      <c r="AZ168" s="249"/>
      <c r="BA168" s="249"/>
      <c r="BB168" s="249"/>
      <c r="BC168" s="249"/>
      <c r="BD168" s="249"/>
      <c r="BE168" s="249"/>
      <c r="BF168" s="249"/>
      <c r="BG168" s="249"/>
      <c r="BH168" s="249"/>
      <c r="BI168" s="249"/>
      <c r="BJ168" s="249"/>
      <c r="BK168" s="249"/>
      <c r="BL168" s="249"/>
      <c r="BM168" s="249"/>
      <c r="BN168" s="249"/>
      <c r="BO168" s="249"/>
      <c r="BP168" s="249"/>
      <c r="BQ168" s="249"/>
      <c r="BR168" s="249"/>
      <c r="BS168" s="260"/>
      <c r="BT168" s="260"/>
      <c r="BU168" s="260"/>
      <c r="BV168" s="260"/>
      <c r="BW168" s="260"/>
      <c r="BX168" s="260"/>
      <c r="BY168" s="260"/>
      <c r="BZ168" s="260"/>
      <c r="CA168" s="260"/>
      <c r="CB168" s="260"/>
      <c r="CC168" s="260"/>
      <c r="CD168" s="260"/>
      <c r="CE168" s="260"/>
      <c r="CF168" s="260"/>
      <c r="CG168" s="260"/>
    </row>
    <row r="169" spans="2:85" ht="12" customHeight="1">
      <c r="B169" s="5"/>
      <c r="C169" s="5"/>
      <c r="D169" s="321"/>
      <c r="E169" s="321"/>
      <c r="F169" s="321"/>
      <c r="G169" s="321"/>
      <c r="H169" s="321"/>
      <c r="I169" s="321"/>
      <c r="J169" s="321"/>
      <c r="K169" s="321"/>
      <c r="L169" s="5"/>
      <c r="M169" s="5"/>
      <c r="N169" s="318" t="s">
        <v>202</v>
      </c>
      <c r="O169" s="318"/>
      <c r="P169" s="318" t="s">
        <v>203</v>
      </c>
      <c r="Q169" s="318"/>
      <c r="R169" s="131"/>
      <c r="S169" s="255"/>
      <c r="T169" s="256"/>
      <c r="U169" s="255"/>
      <c r="V169" s="255"/>
      <c r="W169" s="255"/>
      <c r="X169" s="249"/>
      <c r="Y169" s="249"/>
      <c r="Z169" s="249"/>
      <c r="AA169" s="249"/>
      <c r="AB169" s="249"/>
      <c r="AC169" s="249"/>
      <c r="AD169" s="249"/>
      <c r="AE169" s="249"/>
      <c r="AF169" s="249"/>
      <c r="AG169" s="249"/>
      <c r="AH169" s="249"/>
      <c r="AI169" s="249"/>
      <c r="AJ169" s="249"/>
      <c r="AK169" s="249"/>
      <c r="AL169" s="249"/>
      <c r="AM169" s="249"/>
      <c r="AN169" s="249"/>
      <c r="AO169" s="249"/>
      <c r="AP169" s="249"/>
      <c r="AQ169" s="249"/>
      <c r="AR169" s="249"/>
      <c r="AS169" s="249"/>
      <c r="AT169" s="249"/>
      <c r="AU169" s="249"/>
      <c r="AV169" s="249"/>
      <c r="AW169" s="249"/>
      <c r="AX169" s="249"/>
      <c r="AY169" s="249"/>
      <c r="AZ169" s="249"/>
      <c r="BA169" s="249"/>
      <c r="BB169" s="249"/>
      <c r="BC169" s="249"/>
      <c r="BD169" s="249"/>
      <c r="BE169" s="249"/>
      <c r="BF169" s="249"/>
      <c r="BG169" s="249"/>
      <c r="BH169" s="249"/>
      <c r="BI169" s="249"/>
      <c r="BJ169" s="249"/>
      <c r="BK169" s="249"/>
      <c r="BL169" s="249"/>
      <c r="BM169" s="249"/>
      <c r="BN169" s="249"/>
      <c r="BO169" s="249"/>
      <c r="BP169" s="249"/>
      <c r="BQ169" s="249"/>
      <c r="BR169" s="249"/>
      <c r="BS169" s="260"/>
      <c r="BT169" s="260"/>
      <c r="BU169" s="260"/>
      <c r="BV169" s="260"/>
      <c r="BW169" s="260"/>
      <c r="BX169" s="260"/>
      <c r="BY169" s="260"/>
      <c r="BZ169" s="260"/>
      <c r="CA169" s="260"/>
      <c r="CB169" s="260"/>
      <c r="CC169" s="260"/>
      <c r="CD169" s="260"/>
      <c r="CE169" s="260"/>
      <c r="CF169" s="260"/>
      <c r="CG169" s="260"/>
    </row>
    <row r="170" spans="2:85" ht="12">
      <c r="B170" s="5"/>
      <c r="C170" s="5"/>
      <c r="D170" s="63"/>
      <c r="E170" s="5"/>
      <c r="F170" s="317" t="s">
        <v>204</v>
      </c>
      <c r="G170" s="317"/>
      <c r="H170" s="317" t="s">
        <v>205</v>
      </c>
      <c r="I170" s="317"/>
      <c r="J170" s="317"/>
      <c r="K170" s="64"/>
      <c r="L170" s="65" t="s">
        <v>12</v>
      </c>
      <c r="M170" s="64"/>
      <c r="N170" s="319"/>
      <c r="O170" s="319"/>
      <c r="P170" s="319"/>
      <c r="Q170" s="319"/>
      <c r="R170" s="131"/>
      <c r="S170" s="255"/>
      <c r="T170" s="256">
        <f>F12</f>
        <v>10</v>
      </c>
      <c r="U170" s="249"/>
      <c r="V170" s="255"/>
      <c r="W170" s="255"/>
      <c r="X170" s="249"/>
      <c r="Y170" s="249"/>
      <c r="Z170" s="249"/>
      <c r="AA170" s="249"/>
      <c r="AB170" s="249"/>
      <c r="AC170" s="249"/>
      <c r="AD170" s="249"/>
      <c r="AE170" s="249"/>
      <c r="AF170" s="249"/>
      <c r="AG170" s="249"/>
      <c r="AH170" s="249"/>
      <c r="AI170" s="249"/>
      <c r="AJ170" s="249"/>
      <c r="AK170" s="249"/>
      <c r="AL170" s="249"/>
      <c r="AM170" s="249"/>
      <c r="AN170" s="249"/>
      <c r="AO170" s="249"/>
      <c r="AP170" s="249"/>
      <c r="AQ170" s="249"/>
      <c r="AR170" s="249"/>
      <c r="AS170" s="249"/>
      <c r="AT170" s="249"/>
      <c r="AU170" s="249"/>
      <c r="AV170" s="249"/>
      <c r="AW170" s="249"/>
      <c r="AX170" s="249"/>
      <c r="AY170" s="249"/>
      <c r="AZ170" s="249"/>
      <c r="BA170" s="249"/>
      <c r="BB170" s="249"/>
      <c r="BC170" s="249"/>
      <c r="BD170" s="249"/>
      <c r="BE170" s="249"/>
      <c r="BF170" s="249"/>
      <c r="BG170" s="249"/>
      <c r="BH170" s="249"/>
      <c r="BI170" s="249"/>
      <c r="BJ170" s="249"/>
      <c r="BK170" s="249"/>
      <c r="BL170" s="249"/>
      <c r="BM170" s="249"/>
      <c r="BN170" s="249"/>
      <c r="BO170" s="249"/>
      <c r="BP170" s="249"/>
      <c r="BQ170" s="249"/>
      <c r="BR170" s="249"/>
      <c r="BS170" s="260"/>
      <c r="BT170" s="260"/>
      <c r="BU170" s="260"/>
      <c r="BV170" s="260"/>
      <c r="BW170" s="260"/>
      <c r="BX170" s="260"/>
      <c r="BY170" s="260"/>
      <c r="BZ170" s="260"/>
      <c r="CA170" s="260"/>
      <c r="CB170" s="260"/>
      <c r="CC170" s="260"/>
      <c r="CD170" s="260"/>
      <c r="CE170" s="260"/>
      <c r="CF170" s="260"/>
      <c r="CG170" s="260"/>
    </row>
    <row r="171" spans="2:85" ht="12">
      <c r="B171" s="5"/>
      <c r="C171" s="5"/>
      <c r="D171" s="66" t="s">
        <v>85</v>
      </c>
      <c r="E171" s="5"/>
      <c r="F171" s="5"/>
      <c r="G171" s="5"/>
      <c r="H171" s="5"/>
      <c r="I171" s="5"/>
      <c r="J171" s="5"/>
      <c r="K171" s="5"/>
      <c r="L171" s="5"/>
      <c r="M171" s="5"/>
      <c r="N171" s="5"/>
      <c r="O171" s="5"/>
      <c r="P171" s="5"/>
      <c r="Q171" s="5"/>
      <c r="R171" s="131"/>
      <c r="S171" s="255"/>
      <c r="T171" s="256"/>
      <c r="U171" s="255"/>
      <c r="V171" s="255"/>
      <c r="W171" s="249"/>
      <c r="X171" s="249"/>
      <c r="Y171" s="249"/>
      <c r="Z171" s="249"/>
      <c r="AA171" s="249"/>
      <c r="AB171" s="249"/>
      <c r="AC171" s="249"/>
      <c r="AD171" s="249"/>
      <c r="AE171" s="249"/>
      <c r="AF171" s="249"/>
      <c r="AG171" s="249"/>
      <c r="AH171" s="249"/>
      <c r="AI171" s="249"/>
      <c r="AJ171" s="249"/>
      <c r="AK171" s="249"/>
      <c r="AL171" s="249"/>
      <c r="AM171" s="249"/>
      <c r="AN171" s="249"/>
      <c r="AO171" s="249"/>
      <c r="AP171" s="249"/>
      <c r="AQ171" s="249"/>
      <c r="AR171" s="249"/>
      <c r="AS171" s="249"/>
      <c r="AT171" s="249"/>
      <c r="AU171" s="249"/>
      <c r="AV171" s="249"/>
      <c r="AW171" s="249"/>
      <c r="AX171" s="249"/>
      <c r="AY171" s="249"/>
      <c r="AZ171" s="249"/>
      <c r="BA171" s="249"/>
      <c r="BB171" s="249"/>
      <c r="BC171" s="249"/>
      <c r="BD171" s="249"/>
      <c r="BE171" s="249"/>
      <c r="BF171" s="249"/>
      <c r="BG171" s="249"/>
      <c r="BH171" s="249"/>
      <c r="BI171" s="249"/>
      <c r="BJ171" s="249"/>
      <c r="BK171" s="249"/>
      <c r="BL171" s="249"/>
      <c r="BM171" s="249"/>
      <c r="BN171" s="249"/>
      <c r="BO171" s="249"/>
      <c r="BP171" s="249"/>
      <c r="BQ171" s="249"/>
      <c r="BR171" s="249"/>
      <c r="BS171" s="260"/>
      <c r="BT171" s="260"/>
      <c r="BU171" s="260"/>
      <c r="BV171" s="260"/>
      <c r="BW171" s="260"/>
      <c r="BX171" s="260"/>
      <c r="BY171" s="260"/>
      <c r="BZ171" s="260"/>
      <c r="CA171" s="260"/>
      <c r="CB171" s="260"/>
      <c r="CC171" s="260"/>
      <c r="CD171" s="260"/>
      <c r="CE171" s="260"/>
      <c r="CF171" s="260"/>
      <c r="CG171" s="260"/>
    </row>
    <row r="172" spans="2:85" ht="12" customHeight="1">
      <c r="B172" s="5"/>
      <c r="C172" s="5"/>
      <c r="D172" s="67" t="s">
        <v>153</v>
      </c>
      <c r="E172" s="5"/>
      <c r="F172" s="68" t="s">
        <v>206</v>
      </c>
      <c r="G172" s="5"/>
      <c r="H172" s="313" t="s">
        <v>207</v>
      </c>
      <c r="I172" s="313"/>
      <c r="J172" s="313"/>
      <c r="K172" s="313"/>
      <c r="L172" s="69">
        <f>IF(sim="","",sim)</f>
        <v>16</v>
      </c>
      <c r="M172" s="5"/>
      <c r="N172" s="294" t="s">
        <v>208</v>
      </c>
      <c r="O172" s="294"/>
      <c r="P172" s="294" t="s">
        <v>208</v>
      </c>
      <c r="Q172" s="294"/>
      <c r="R172" s="131"/>
      <c r="S172" s="255"/>
      <c r="T172" s="255"/>
      <c r="U172" s="255"/>
      <c r="V172" s="255"/>
      <c r="W172" s="249"/>
      <c r="X172" s="249"/>
      <c r="Y172" s="249"/>
      <c r="Z172" s="249"/>
      <c r="AA172" s="249"/>
      <c r="AB172" s="249"/>
      <c r="AC172" s="249"/>
      <c r="AD172" s="249"/>
      <c r="AE172" s="249"/>
      <c r="AF172" s="249"/>
      <c r="AG172" s="249"/>
      <c r="AH172" s="249"/>
      <c r="AI172" s="249"/>
      <c r="AJ172" s="249"/>
      <c r="AK172" s="249"/>
      <c r="AL172" s="249"/>
      <c r="AM172" s="249"/>
      <c r="AN172" s="249"/>
      <c r="AO172" s="249"/>
      <c r="AP172" s="249"/>
      <c r="AQ172" s="249"/>
      <c r="AR172" s="249"/>
      <c r="AS172" s="249"/>
      <c r="AT172" s="249"/>
      <c r="AU172" s="249"/>
      <c r="AV172" s="249"/>
      <c r="AW172" s="249"/>
      <c r="AX172" s="249"/>
      <c r="AY172" s="249"/>
      <c r="AZ172" s="249"/>
      <c r="BA172" s="249"/>
      <c r="BB172" s="249"/>
      <c r="BC172" s="249"/>
      <c r="BD172" s="249"/>
      <c r="BE172" s="249"/>
      <c r="BF172" s="249"/>
      <c r="BG172" s="249"/>
      <c r="BH172" s="249"/>
      <c r="BI172" s="249"/>
      <c r="BJ172" s="249"/>
      <c r="BK172" s="249"/>
      <c r="BL172" s="249"/>
      <c r="BM172" s="249"/>
      <c r="BN172" s="249"/>
      <c r="BO172" s="249"/>
      <c r="BP172" s="249"/>
      <c r="BQ172" s="249"/>
      <c r="BR172" s="249"/>
      <c r="BS172" s="260"/>
      <c r="BT172" s="260"/>
      <c r="BU172" s="260"/>
      <c r="BV172" s="260"/>
      <c r="BW172" s="260"/>
      <c r="BX172" s="260"/>
      <c r="BY172" s="260"/>
      <c r="BZ172" s="260"/>
      <c r="CA172" s="260"/>
      <c r="CB172" s="260"/>
      <c r="CC172" s="260"/>
      <c r="CD172" s="260"/>
      <c r="CE172" s="260"/>
      <c r="CF172" s="260"/>
      <c r="CG172" s="260"/>
    </row>
    <row r="173" spans="2:85">
      <c r="B173" s="7"/>
      <c r="C173" s="5"/>
      <c r="D173" s="67"/>
      <c r="E173" s="5"/>
      <c r="F173" s="7"/>
      <c r="G173" s="5"/>
      <c r="H173" s="313" t="s">
        <v>209</v>
      </c>
      <c r="I173" s="313"/>
      <c r="J173" s="313"/>
      <c r="K173" s="5"/>
      <c r="L173" s="69"/>
      <c r="M173" s="5"/>
      <c r="N173" s="5"/>
      <c r="O173" s="5"/>
      <c r="P173" s="7"/>
      <c r="Q173" s="5"/>
      <c r="S173" s="249"/>
      <c r="T173" s="249"/>
      <c r="U173" s="249"/>
      <c r="V173" s="249"/>
      <c r="W173" s="249"/>
      <c r="X173" s="249"/>
      <c r="Y173" s="249"/>
      <c r="Z173" s="249"/>
      <c r="AA173" s="249"/>
      <c r="AB173" s="249"/>
      <c r="AC173" s="249"/>
      <c r="AD173" s="249"/>
      <c r="AE173" s="249"/>
      <c r="AF173" s="249"/>
      <c r="AG173" s="249"/>
      <c r="AH173" s="249"/>
      <c r="AI173" s="249"/>
      <c r="AJ173" s="249"/>
      <c r="AK173" s="249"/>
      <c r="AL173" s="249"/>
      <c r="AM173" s="249"/>
      <c r="AN173" s="249"/>
      <c r="AO173" s="249"/>
      <c r="AP173" s="249"/>
      <c r="AQ173" s="249"/>
      <c r="AR173" s="249"/>
      <c r="AS173" s="249"/>
      <c r="AT173" s="249"/>
      <c r="AU173" s="249"/>
      <c r="AV173" s="249"/>
      <c r="AW173" s="249"/>
      <c r="AX173" s="249"/>
      <c r="AY173" s="249"/>
      <c r="AZ173" s="249"/>
      <c r="BA173" s="249"/>
      <c r="BB173" s="249"/>
      <c r="BC173" s="249"/>
      <c r="BD173" s="249"/>
      <c r="BE173" s="249"/>
      <c r="BF173" s="249"/>
      <c r="BG173" s="249"/>
      <c r="BH173" s="249"/>
      <c r="BI173" s="249"/>
      <c r="BJ173" s="249"/>
      <c r="BK173" s="249"/>
      <c r="BL173" s="249"/>
      <c r="BM173" s="249"/>
      <c r="BN173" s="249"/>
      <c r="BO173" s="249"/>
      <c r="BP173" s="249"/>
      <c r="BQ173" s="249"/>
      <c r="BR173" s="249"/>
      <c r="BS173" s="260"/>
      <c r="BT173" s="260"/>
      <c r="BU173" s="260"/>
      <c r="BV173" s="260"/>
      <c r="BW173" s="260"/>
      <c r="BX173" s="260"/>
      <c r="BY173" s="260"/>
      <c r="BZ173" s="260"/>
      <c r="CA173" s="260"/>
      <c r="CB173" s="260"/>
      <c r="CC173" s="260"/>
      <c r="CD173" s="260"/>
      <c r="CE173" s="260"/>
      <c r="CF173" s="260"/>
      <c r="CG173" s="260"/>
    </row>
    <row r="174" spans="2:85" ht="4.5" customHeight="1">
      <c r="B174" s="7"/>
      <c r="C174" s="5"/>
      <c r="D174" s="67"/>
      <c r="E174" s="5"/>
      <c r="F174" s="7"/>
      <c r="G174" s="74"/>
      <c r="H174" s="5"/>
      <c r="I174" s="5"/>
      <c r="J174" s="5"/>
      <c r="K174" s="5"/>
      <c r="L174" s="69"/>
      <c r="M174" s="5"/>
      <c r="N174" s="5"/>
      <c r="O174" s="5"/>
      <c r="P174" s="7"/>
      <c r="Q174" s="5"/>
      <c r="S174" s="249"/>
      <c r="T174" s="249"/>
      <c r="U174" s="249"/>
      <c r="V174" s="249"/>
      <c r="W174" s="249"/>
      <c r="X174" s="249"/>
      <c r="Y174" s="249"/>
      <c r="Z174" s="249"/>
      <c r="AA174" s="249"/>
      <c r="AB174" s="249"/>
      <c r="AC174" s="249"/>
      <c r="AD174" s="249"/>
      <c r="AE174" s="249"/>
      <c r="AF174" s="249"/>
      <c r="AG174" s="249"/>
      <c r="AH174" s="249"/>
      <c r="AI174" s="249"/>
      <c r="AJ174" s="249"/>
      <c r="AK174" s="249"/>
      <c r="AL174" s="249"/>
      <c r="AM174" s="249"/>
      <c r="AN174" s="249"/>
      <c r="AO174" s="249"/>
      <c r="AP174" s="249"/>
      <c r="AQ174" s="249"/>
      <c r="AR174" s="249"/>
      <c r="AS174" s="249"/>
      <c r="AT174" s="249"/>
      <c r="AU174" s="249"/>
      <c r="AV174" s="249"/>
      <c r="AW174" s="249"/>
      <c r="AX174" s="249"/>
      <c r="AY174" s="249"/>
      <c r="AZ174" s="249"/>
      <c r="BA174" s="249"/>
      <c r="BB174" s="249"/>
      <c r="BC174" s="249"/>
      <c r="BD174" s="249"/>
      <c r="BE174" s="249"/>
      <c r="BF174" s="249"/>
      <c r="BG174" s="249"/>
      <c r="BH174" s="249"/>
      <c r="BI174" s="249"/>
      <c r="BJ174" s="249"/>
      <c r="BK174" s="249"/>
      <c r="BL174" s="249"/>
      <c r="BM174" s="249"/>
      <c r="BN174" s="249"/>
      <c r="BO174" s="249"/>
      <c r="BP174" s="249"/>
      <c r="BQ174" s="249"/>
      <c r="BR174" s="249"/>
      <c r="BS174" s="260"/>
      <c r="BT174" s="260"/>
      <c r="BU174" s="260"/>
      <c r="BV174" s="260"/>
      <c r="BW174" s="260"/>
      <c r="BX174" s="260"/>
      <c r="BY174" s="260"/>
      <c r="BZ174" s="260"/>
      <c r="CA174" s="260"/>
      <c r="CB174" s="260"/>
      <c r="CC174" s="260"/>
      <c r="CD174" s="260"/>
      <c r="CE174" s="260"/>
      <c r="CF174" s="260"/>
      <c r="CG174" s="260"/>
    </row>
    <row r="175" spans="2:85" ht="12" customHeight="1">
      <c r="B175" s="7"/>
      <c r="C175" s="5"/>
      <c r="D175" s="67" t="s">
        <v>155</v>
      </c>
      <c r="E175" s="5"/>
      <c r="F175" s="68" t="s">
        <v>206</v>
      </c>
      <c r="G175" s="5"/>
      <c r="H175" s="313" t="s">
        <v>207</v>
      </c>
      <c r="I175" s="313"/>
      <c r="J175" s="313"/>
      <c r="K175" s="313"/>
      <c r="L175" s="69">
        <f>IF(VOC="","",VOC)</f>
        <v>11</v>
      </c>
      <c r="M175" s="5"/>
      <c r="N175" s="294" t="s">
        <v>208</v>
      </c>
      <c r="O175" s="294"/>
      <c r="P175" s="294" t="s">
        <v>208</v>
      </c>
      <c r="Q175" s="294"/>
      <c r="S175" s="249"/>
      <c r="T175" s="249"/>
      <c r="U175" s="249"/>
      <c r="V175" s="249"/>
      <c r="W175" s="249"/>
      <c r="X175" s="249"/>
      <c r="Y175" s="249"/>
      <c r="Z175" s="249"/>
      <c r="AA175" s="249"/>
      <c r="AB175" s="249"/>
      <c r="AC175" s="249"/>
      <c r="AD175" s="249"/>
      <c r="AE175" s="249"/>
      <c r="AF175" s="249"/>
      <c r="AG175" s="249"/>
      <c r="AH175" s="249"/>
      <c r="AI175" s="249"/>
      <c r="AJ175" s="249"/>
      <c r="AK175" s="249"/>
      <c r="AL175" s="249"/>
      <c r="AM175" s="249"/>
      <c r="AN175" s="249"/>
      <c r="AO175" s="249"/>
      <c r="AP175" s="249"/>
      <c r="AQ175" s="249"/>
      <c r="AR175" s="249"/>
      <c r="AS175" s="249"/>
      <c r="AT175" s="249"/>
      <c r="AU175" s="249"/>
      <c r="AV175" s="249"/>
      <c r="AW175" s="249"/>
      <c r="AX175" s="249"/>
      <c r="AY175" s="249"/>
      <c r="AZ175" s="249"/>
      <c r="BA175" s="249"/>
      <c r="BB175" s="249"/>
      <c r="BC175" s="249"/>
      <c r="BD175" s="249"/>
      <c r="BE175" s="249"/>
      <c r="BF175" s="249"/>
      <c r="BG175" s="249"/>
      <c r="BH175" s="249"/>
      <c r="BI175" s="249"/>
      <c r="BJ175" s="249"/>
      <c r="BK175" s="249"/>
      <c r="BL175" s="249"/>
      <c r="BM175" s="249"/>
      <c r="BN175" s="249"/>
      <c r="BO175" s="249"/>
      <c r="BP175" s="249"/>
      <c r="BQ175" s="249"/>
      <c r="BR175" s="249"/>
      <c r="BS175" s="260"/>
      <c r="BT175" s="260"/>
      <c r="BU175" s="260"/>
      <c r="BV175" s="260"/>
      <c r="BW175" s="260"/>
      <c r="BX175" s="260"/>
      <c r="BY175" s="260"/>
      <c r="BZ175" s="260"/>
      <c r="CA175" s="260"/>
      <c r="CB175" s="260"/>
      <c r="CC175" s="260"/>
      <c r="CD175" s="260"/>
      <c r="CE175" s="260"/>
      <c r="CF175" s="260"/>
      <c r="CG175" s="260"/>
    </row>
    <row r="176" spans="2:85">
      <c r="B176" s="7"/>
      <c r="C176" s="5"/>
      <c r="D176" s="67"/>
      <c r="E176" s="5"/>
      <c r="F176" s="68"/>
      <c r="G176" s="5"/>
      <c r="H176" s="313" t="s">
        <v>209</v>
      </c>
      <c r="I176" s="313"/>
      <c r="J176" s="313"/>
      <c r="K176" s="5"/>
      <c r="L176" s="69"/>
      <c r="M176" s="5"/>
      <c r="N176" s="5"/>
      <c r="O176" s="5"/>
      <c r="P176" s="7"/>
      <c r="Q176" s="5"/>
      <c r="S176" s="249"/>
      <c r="T176" s="249"/>
      <c r="U176" s="249"/>
      <c r="V176" s="249"/>
      <c r="W176" s="249"/>
      <c r="X176" s="249"/>
      <c r="Y176" s="249"/>
      <c r="Z176" s="249"/>
      <c r="AA176" s="249"/>
      <c r="AB176" s="249"/>
      <c r="AC176" s="249"/>
      <c r="AD176" s="249"/>
      <c r="AE176" s="249"/>
      <c r="AF176" s="249"/>
      <c r="AG176" s="249"/>
      <c r="AH176" s="249"/>
      <c r="AI176" s="249"/>
      <c r="AJ176" s="249"/>
      <c r="AK176" s="249"/>
      <c r="AL176" s="249"/>
      <c r="AM176" s="249"/>
      <c r="AN176" s="249"/>
      <c r="AO176" s="249"/>
      <c r="AP176" s="249"/>
      <c r="AQ176" s="249"/>
      <c r="AR176" s="249"/>
      <c r="AS176" s="249"/>
      <c r="AT176" s="249"/>
      <c r="AU176" s="249"/>
      <c r="AV176" s="249"/>
      <c r="AW176" s="249"/>
      <c r="AX176" s="249"/>
      <c r="AY176" s="249"/>
      <c r="AZ176" s="249"/>
      <c r="BA176" s="249"/>
      <c r="BB176" s="249"/>
      <c r="BC176" s="249"/>
      <c r="BD176" s="249"/>
      <c r="BE176" s="249"/>
      <c r="BF176" s="249"/>
      <c r="BG176" s="249"/>
      <c r="BH176" s="249"/>
      <c r="BI176" s="249"/>
      <c r="BJ176" s="249"/>
      <c r="BK176" s="249"/>
      <c r="BL176" s="249"/>
      <c r="BM176" s="249"/>
      <c r="BN176" s="249"/>
      <c r="BO176" s="249"/>
      <c r="BP176" s="249"/>
      <c r="BQ176" s="249"/>
      <c r="BR176" s="249"/>
      <c r="BS176" s="260"/>
      <c r="BT176" s="260"/>
      <c r="BU176" s="260"/>
      <c r="BV176" s="260"/>
      <c r="BW176" s="260"/>
      <c r="BX176" s="260"/>
      <c r="BY176" s="260"/>
      <c r="BZ176" s="260"/>
      <c r="CA176" s="260"/>
      <c r="CB176" s="260"/>
      <c r="CC176" s="260"/>
      <c r="CD176" s="260"/>
      <c r="CE176" s="260"/>
      <c r="CF176" s="260"/>
      <c r="CG176" s="260"/>
    </row>
    <row r="177" spans="2:31" ht="3" customHeight="1">
      <c r="B177" s="7"/>
      <c r="C177" s="5"/>
      <c r="D177" s="67"/>
      <c r="E177" s="5"/>
      <c r="F177" s="68"/>
      <c r="G177" s="5"/>
      <c r="H177" s="74"/>
      <c r="I177" s="74"/>
      <c r="J177" s="74"/>
      <c r="K177" s="5"/>
      <c r="L177" s="69"/>
      <c r="M177" s="5"/>
      <c r="N177" s="5"/>
      <c r="O177" s="5"/>
      <c r="P177" s="7"/>
      <c r="Q177" s="5"/>
      <c r="S177" s="249"/>
      <c r="T177" s="249"/>
      <c r="U177" s="249"/>
      <c r="V177" s="249"/>
      <c r="W177" s="249"/>
      <c r="X177" s="249"/>
      <c r="Y177" s="249"/>
      <c r="Z177" s="249"/>
      <c r="AA177" s="249"/>
      <c r="AB177" s="249"/>
      <c r="AC177" s="249"/>
      <c r="AD177" s="249"/>
      <c r="AE177" s="249"/>
    </row>
    <row r="178" spans="2:31" ht="11.25" customHeight="1">
      <c r="B178" s="7"/>
      <c r="C178" s="5"/>
      <c r="D178" s="67" t="s">
        <v>156</v>
      </c>
      <c r="E178" s="5"/>
      <c r="F178" s="68" t="s">
        <v>206</v>
      </c>
      <c r="G178" s="5"/>
      <c r="H178" s="314" t="s">
        <v>210</v>
      </c>
      <c r="I178" s="314"/>
      <c r="J178" s="314"/>
      <c r="K178" s="5"/>
      <c r="L178" s="69">
        <f>IF(IN="","",IN)</f>
        <v>12</v>
      </c>
      <c r="M178" s="5"/>
      <c r="N178" s="294" t="s">
        <v>208</v>
      </c>
      <c r="O178" s="294"/>
      <c r="P178" s="294" t="s">
        <v>208</v>
      </c>
      <c r="Q178" s="294"/>
      <c r="S178" s="249"/>
      <c r="T178" s="249"/>
      <c r="U178" s="249"/>
      <c r="V178" s="249"/>
      <c r="W178" s="249"/>
      <c r="X178" s="249"/>
      <c r="Y178" s="249"/>
      <c r="Z178" s="249"/>
      <c r="AA178" s="249"/>
      <c r="AB178" s="249"/>
      <c r="AC178" s="249"/>
      <c r="AD178" s="249"/>
      <c r="AE178" s="249"/>
    </row>
    <row r="179" spans="2:31" ht="4.5" customHeight="1">
      <c r="B179" s="7"/>
      <c r="C179" s="5"/>
      <c r="D179" s="67"/>
      <c r="E179" s="5"/>
      <c r="F179" s="68"/>
      <c r="G179" s="5"/>
      <c r="H179" s="7"/>
      <c r="I179" s="7"/>
      <c r="J179" s="7"/>
      <c r="K179" s="5"/>
      <c r="L179" s="69"/>
      <c r="M179" s="5"/>
      <c r="N179" s="69"/>
      <c r="O179" s="69"/>
      <c r="P179" s="69"/>
      <c r="Q179" s="69"/>
      <c r="S179" s="249"/>
      <c r="T179" s="249"/>
      <c r="U179" s="249"/>
      <c r="V179" s="249"/>
      <c r="W179" s="249"/>
      <c r="X179" s="249"/>
      <c r="Y179" s="249"/>
      <c r="Z179" s="249"/>
      <c r="AA179" s="249"/>
      <c r="AB179" s="249"/>
      <c r="AC179" s="249"/>
      <c r="AD179" s="249"/>
      <c r="AE179" s="249"/>
    </row>
    <row r="180" spans="2:31" ht="12" customHeight="1">
      <c r="B180" s="5"/>
      <c r="C180" s="5"/>
      <c r="D180" s="67" t="s">
        <v>158</v>
      </c>
      <c r="E180" s="5"/>
      <c r="F180" s="68" t="s">
        <v>206</v>
      </c>
      <c r="G180" s="5"/>
      <c r="H180" s="313" t="s">
        <v>207</v>
      </c>
      <c r="I180" s="313"/>
      <c r="J180" s="313"/>
      <c r="K180" s="313"/>
      <c r="L180" s="69">
        <f>IF(COMP="","",COMP)</f>
        <v>12</v>
      </c>
      <c r="M180" s="5"/>
      <c r="N180" s="294" t="s">
        <v>208</v>
      </c>
      <c r="O180" s="294"/>
      <c r="P180" s="294" t="s">
        <v>208</v>
      </c>
      <c r="Q180" s="294"/>
      <c r="S180" s="249"/>
      <c r="T180" s="249"/>
      <c r="U180" s="249"/>
      <c r="V180" s="249"/>
      <c r="W180" s="249"/>
      <c r="X180" s="249"/>
      <c r="Y180" s="249"/>
      <c r="Z180" s="249"/>
      <c r="AA180" s="249"/>
      <c r="AB180" s="249"/>
      <c r="AC180" s="249"/>
      <c r="AD180" s="249"/>
      <c r="AE180" s="249"/>
    </row>
    <row r="181" spans="2:31">
      <c r="B181" s="5"/>
      <c r="C181" s="5"/>
      <c r="D181" s="67"/>
      <c r="E181" s="5"/>
      <c r="F181" s="68"/>
      <c r="G181" s="5"/>
      <c r="H181" s="314" t="s">
        <v>210</v>
      </c>
      <c r="I181" s="314"/>
      <c r="J181" s="314"/>
      <c r="K181" s="5"/>
      <c r="L181" s="69"/>
      <c r="M181" s="5"/>
      <c r="N181" s="5"/>
      <c r="O181" s="5"/>
      <c r="P181" s="7"/>
      <c r="Q181" s="5"/>
      <c r="S181" s="249"/>
      <c r="T181" s="249"/>
      <c r="U181" s="249"/>
      <c r="V181" s="249"/>
      <c r="W181" s="249"/>
      <c r="X181" s="249"/>
      <c r="Y181" s="249"/>
      <c r="Z181" s="249"/>
      <c r="AA181" s="249"/>
      <c r="AB181" s="249"/>
      <c r="AC181" s="249"/>
      <c r="AD181" s="249"/>
      <c r="AE181" s="249"/>
    </row>
    <row r="182" spans="2:31" ht="4.5" customHeight="1">
      <c r="B182" s="5"/>
      <c r="C182" s="5"/>
      <c r="D182" s="67"/>
      <c r="E182" s="5"/>
      <c r="F182" s="68"/>
      <c r="G182" s="5"/>
      <c r="H182" s="7"/>
      <c r="I182" s="5"/>
      <c r="J182" s="5"/>
      <c r="K182" s="5"/>
      <c r="L182" s="69"/>
      <c r="M182" s="5"/>
      <c r="N182" s="5"/>
      <c r="O182" s="5"/>
      <c r="P182" s="7"/>
      <c r="Q182" s="5"/>
      <c r="S182" s="249"/>
      <c r="T182" s="249"/>
      <c r="U182" s="249"/>
      <c r="V182" s="249"/>
      <c r="W182" s="249"/>
      <c r="X182" s="249"/>
      <c r="Y182" s="249"/>
      <c r="Z182" s="249"/>
      <c r="AA182" s="249"/>
      <c r="AB182" s="249"/>
      <c r="AC182" s="249"/>
      <c r="AD182" s="249"/>
      <c r="AE182" s="249"/>
    </row>
    <row r="183" spans="2:31" ht="4.5" customHeight="1">
      <c r="B183" s="7"/>
      <c r="C183" s="5"/>
      <c r="D183" s="67"/>
      <c r="E183" s="5"/>
      <c r="F183" s="68"/>
      <c r="G183" s="5"/>
      <c r="H183" s="7"/>
      <c r="I183" s="5"/>
      <c r="J183" s="7"/>
      <c r="K183" s="7"/>
      <c r="L183" s="69"/>
      <c r="M183" s="5"/>
      <c r="N183" s="7"/>
      <c r="O183" s="7"/>
      <c r="P183" s="7"/>
      <c r="Q183" s="5"/>
      <c r="S183" s="249"/>
      <c r="T183" s="249"/>
      <c r="U183" s="249"/>
      <c r="V183" s="249"/>
      <c r="W183" s="249"/>
      <c r="X183" s="249"/>
      <c r="Y183" s="249"/>
      <c r="Z183" s="249"/>
      <c r="AA183" s="249"/>
      <c r="AB183" s="249"/>
      <c r="AC183" s="249"/>
      <c r="AD183" s="249"/>
      <c r="AE183" s="249"/>
    </row>
    <row r="184" spans="2:31">
      <c r="B184" s="7"/>
      <c r="C184" s="5"/>
      <c r="D184" s="66" t="s">
        <v>86</v>
      </c>
      <c r="E184" s="5"/>
      <c r="F184" s="68"/>
      <c r="G184" s="5"/>
      <c r="H184" s="313"/>
      <c r="I184" s="313"/>
      <c r="J184" s="313"/>
      <c r="K184" s="5"/>
      <c r="L184" s="69"/>
      <c r="M184" s="5"/>
      <c r="N184" s="294"/>
      <c r="O184" s="294"/>
      <c r="P184" s="294"/>
      <c r="Q184" s="294"/>
      <c r="S184" s="249"/>
      <c r="T184" s="249"/>
      <c r="U184" s="249"/>
      <c r="V184" s="249"/>
      <c r="W184" s="249"/>
      <c r="X184" s="249"/>
      <c r="Y184" s="249"/>
      <c r="Z184" s="249"/>
      <c r="AA184" s="249"/>
      <c r="AB184" s="249"/>
      <c r="AC184" s="252">
        <f>IF(ABS(L184)&gt;8,3,0)</f>
        <v>0</v>
      </c>
      <c r="AD184" s="249"/>
      <c r="AE184" s="252">
        <f>SIGN(L184)</f>
        <v>0</v>
      </c>
    </row>
    <row r="185" spans="2:31" ht="3" customHeight="1">
      <c r="B185" s="7"/>
      <c r="C185" s="5"/>
      <c r="D185" s="7"/>
      <c r="E185" s="5"/>
      <c r="F185" s="7"/>
      <c r="G185" s="5"/>
      <c r="H185" s="314"/>
      <c r="I185" s="314"/>
      <c r="J185" s="314"/>
      <c r="K185" s="5"/>
      <c r="L185" s="69"/>
      <c r="M185" s="5"/>
      <c r="N185" s="5"/>
      <c r="O185" s="5"/>
      <c r="P185" s="7"/>
      <c r="Q185" s="5"/>
      <c r="S185" s="249"/>
      <c r="T185" s="249"/>
      <c r="U185" s="249"/>
      <c r="V185" s="249"/>
      <c r="W185" s="249"/>
      <c r="X185" s="249"/>
      <c r="Y185" s="249"/>
      <c r="Z185" s="249"/>
      <c r="AA185" s="249"/>
      <c r="AB185" s="249"/>
      <c r="AC185" s="252">
        <f>IF(ABS(L185)&gt;10,3,0)</f>
        <v>0</v>
      </c>
      <c r="AD185" s="249"/>
      <c r="AE185" s="252">
        <f>SIGN(L185)</f>
        <v>0</v>
      </c>
    </row>
    <row r="186" spans="2:31" ht="13.5" customHeight="1">
      <c r="B186" s="7"/>
      <c r="C186" s="5"/>
      <c r="D186" s="67" t="s">
        <v>154</v>
      </c>
      <c r="E186" s="5"/>
      <c r="F186" s="68" t="s">
        <v>211</v>
      </c>
      <c r="G186" s="5"/>
      <c r="H186" s="313" t="s">
        <v>212</v>
      </c>
      <c r="I186" s="313"/>
      <c r="J186" s="313"/>
      <c r="K186" s="5"/>
      <c r="L186" s="69">
        <f>IF(bd="","",bd)</f>
        <v>10</v>
      </c>
      <c r="M186" s="5"/>
      <c r="N186" s="294" t="s">
        <v>213</v>
      </c>
      <c r="O186" s="294"/>
      <c r="P186" s="294" t="s">
        <v>214</v>
      </c>
      <c r="Q186" s="294"/>
      <c r="S186" s="249"/>
      <c r="T186" s="249"/>
      <c r="U186" s="249"/>
      <c r="V186" s="249"/>
      <c r="W186" s="249"/>
      <c r="X186" s="249"/>
      <c r="Y186" s="249"/>
      <c r="Z186" s="249"/>
      <c r="AA186" s="249"/>
      <c r="AB186" s="249"/>
      <c r="AC186" s="252" t="e">
        <f>IF(ABS(#REF!)&gt;10,3,0)</f>
        <v>#REF!</v>
      </c>
      <c r="AD186" s="249"/>
      <c r="AE186" s="252" t="e">
        <f>SIGN(#REF!)</f>
        <v>#REF!</v>
      </c>
    </row>
    <row r="187" spans="2:31">
      <c r="B187" s="7"/>
      <c r="C187" s="5"/>
      <c r="D187" s="67"/>
      <c r="E187" s="5"/>
      <c r="F187" s="7"/>
      <c r="G187" s="5"/>
      <c r="H187" s="313" t="s">
        <v>215</v>
      </c>
      <c r="I187" s="313"/>
      <c r="J187" s="313"/>
      <c r="K187" s="5"/>
      <c r="L187" s="69"/>
      <c r="M187" s="5"/>
      <c r="N187" s="5"/>
      <c r="O187" s="5"/>
      <c r="P187" s="7"/>
      <c r="Q187" s="5"/>
      <c r="S187" s="249"/>
      <c r="T187" s="249"/>
      <c r="U187" s="249"/>
      <c r="V187" s="249"/>
      <c r="W187" s="249"/>
      <c r="X187" s="249"/>
      <c r="Y187" s="249"/>
      <c r="Z187" s="249"/>
      <c r="AA187" s="249"/>
      <c r="AB187" s="249"/>
      <c r="AC187" s="249"/>
      <c r="AD187" s="249"/>
      <c r="AE187" s="249"/>
    </row>
    <row r="188" spans="2:31" ht="3.75" customHeight="1">
      <c r="B188" s="7"/>
      <c r="C188" s="5"/>
      <c r="S188" s="249"/>
      <c r="T188" s="249"/>
      <c r="U188" s="249"/>
      <c r="V188" s="249"/>
      <c r="W188" s="249"/>
      <c r="X188" s="249"/>
      <c r="Y188" s="249"/>
      <c r="Z188" s="249"/>
      <c r="AA188" s="249"/>
      <c r="AB188" s="249"/>
      <c r="AC188" s="252">
        <f>IF(ABS(M70)&gt;9,3,0)</f>
        <v>0</v>
      </c>
      <c r="AD188" s="249"/>
      <c r="AE188" s="252">
        <f>SIGN(M70)</f>
        <v>0</v>
      </c>
    </row>
    <row r="189" spans="2:31">
      <c r="B189" s="7"/>
      <c r="C189" s="5"/>
      <c r="D189" s="67" t="s">
        <v>159</v>
      </c>
      <c r="E189" s="5"/>
      <c r="F189" s="68" t="s">
        <v>216</v>
      </c>
      <c r="G189" s="5"/>
      <c r="H189" s="313" t="s">
        <v>217</v>
      </c>
      <c r="I189" s="313"/>
      <c r="J189" s="313"/>
      <c r="K189" s="5"/>
      <c r="L189" s="69">
        <f>IF(MR="","",MR)</f>
        <v>16</v>
      </c>
      <c r="M189" s="5"/>
      <c r="N189" s="294" t="s">
        <v>214</v>
      </c>
      <c r="O189" s="294"/>
      <c r="P189" s="294" t="s">
        <v>214</v>
      </c>
      <c r="Q189" s="294"/>
      <c r="S189" s="249"/>
      <c r="T189" s="249"/>
      <c r="U189" s="249"/>
      <c r="V189" s="249"/>
      <c r="W189" s="249"/>
      <c r="X189" s="249"/>
      <c r="Y189" s="249"/>
      <c r="Z189" s="249"/>
      <c r="AA189" s="249"/>
      <c r="AB189" s="249"/>
      <c r="AC189" s="252">
        <f>IF(ABS(M71)&gt;10,3,0)</f>
        <v>0</v>
      </c>
      <c r="AD189" s="249"/>
      <c r="AE189" s="252">
        <f>SIGN(M71)</f>
        <v>0</v>
      </c>
    </row>
    <row r="190" spans="2:31" ht="4.5" customHeight="1">
      <c r="B190" s="7"/>
      <c r="C190" s="5"/>
      <c r="D190" s="67"/>
      <c r="E190" s="5"/>
      <c r="F190" s="7"/>
      <c r="G190" s="5"/>
      <c r="H190" s="74"/>
      <c r="I190" s="5"/>
      <c r="J190" s="5"/>
      <c r="K190" s="5"/>
      <c r="L190" s="69"/>
      <c r="M190" s="5"/>
      <c r="N190" s="5"/>
      <c r="O190" s="5"/>
      <c r="P190" s="7"/>
      <c r="Q190" s="5"/>
      <c r="S190" s="249"/>
      <c r="T190" s="249"/>
      <c r="U190" s="249"/>
      <c r="V190" s="249"/>
      <c r="W190" s="249"/>
      <c r="X190" s="249"/>
      <c r="Y190" s="249"/>
      <c r="Z190" s="249"/>
      <c r="AA190" s="249"/>
      <c r="AB190" s="249"/>
      <c r="AC190" s="252">
        <f>IF(ABS(M72)&gt;10,3,0)</f>
        <v>0</v>
      </c>
      <c r="AD190" s="249"/>
      <c r="AE190" s="252">
        <f>SIGN(M72)</f>
        <v>0</v>
      </c>
    </row>
    <row r="191" spans="2:31" ht="12">
      <c r="B191" s="5"/>
      <c r="C191" s="5"/>
      <c r="D191" s="67" t="s">
        <v>163</v>
      </c>
      <c r="E191" s="5"/>
      <c r="F191" s="68" t="s">
        <v>211</v>
      </c>
      <c r="G191" s="5"/>
      <c r="H191" s="314" t="s">
        <v>218</v>
      </c>
      <c r="I191" s="314"/>
      <c r="J191" s="314"/>
      <c r="K191" s="5"/>
      <c r="L191" s="69">
        <f>IF(VP="","",VP)</f>
        <v>9</v>
      </c>
      <c r="M191" s="5"/>
      <c r="N191" s="294" t="s">
        <v>213</v>
      </c>
      <c r="O191" s="294"/>
      <c r="P191" s="294" t="s">
        <v>213</v>
      </c>
      <c r="Q191" s="294"/>
      <c r="R191" s="131"/>
      <c r="S191" s="255"/>
      <c r="T191" s="255"/>
      <c r="U191" s="255"/>
      <c r="V191" s="249"/>
      <c r="W191" s="249"/>
      <c r="X191" s="249"/>
      <c r="Y191" s="249"/>
      <c r="Z191" s="249"/>
      <c r="AA191" s="249"/>
      <c r="AB191" s="249"/>
      <c r="AC191" s="252">
        <f>IF(ABS(L191)&gt;8,3,0)</f>
        <v>3</v>
      </c>
      <c r="AD191" s="249"/>
      <c r="AE191" s="252">
        <f>SIGN(L191)</f>
        <v>1</v>
      </c>
    </row>
    <row r="192" spans="2:31" ht="3.75" customHeight="1">
      <c r="B192" s="5"/>
      <c r="C192" s="5"/>
      <c r="D192" s="67"/>
      <c r="E192" s="5"/>
      <c r="F192" s="68"/>
      <c r="G192" s="5"/>
      <c r="H192" s="313"/>
      <c r="I192" s="313"/>
      <c r="J192" s="313"/>
      <c r="K192" s="5"/>
      <c r="L192" s="69"/>
      <c r="M192" s="5"/>
      <c r="N192" s="5"/>
      <c r="O192" s="5"/>
      <c r="P192" s="5"/>
      <c r="Q192" s="5"/>
      <c r="R192" s="131"/>
      <c r="S192" s="255"/>
      <c r="T192" s="255"/>
      <c r="U192" s="255"/>
      <c r="V192" s="249"/>
      <c r="W192" s="249"/>
      <c r="X192" s="249"/>
      <c r="Y192" s="249"/>
      <c r="Z192" s="249"/>
      <c r="AA192" s="249"/>
      <c r="AB192" s="249"/>
      <c r="AC192" s="249"/>
      <c r="AD192" s="249"/>
      <c r="AE192" s="249"/>
    </row>
    <row r="193" spans="2:31" ht="12.75" customHeight="1">
      <c r="B193" s="5"/>
      <c r="C193" s="5"/>
      <c r="D193" s="67" t="s">
        <v>164</v>
      </c>
      <c r="E193" s="5"/>
      <c r="F193" s="68" t="s">
        <v>216</v>
      </c>
      <c r="G193" s="5"/>
      <c r="H193" s="7" t="s">
        <v>219</v>
      </c>
      <c r="I193" s="7"/>
      <c r="J193" s="7"/>
      <c r="K193" s="5"/>
      <c r="L193" s="69">
        <f>IF(FW="","",FW)</f>
        <v>16</v>
      </c>
      <c r="M193" s="5"/>
      <c r="N193" s="294" t="s">
        <v>213</v>
      </c>
      <c r="O193" s="294"/>
      <c r="P193" s="294" t="s">
        <v>213</v>
      </c>
      <c r="Q193" s="294"/>
      <c r="R193" s="131"/>
      <c r="S193" s="255"/>
      <c r="T193" s="255"/>
      <c r="U193" s="255"/>
      <c r="V193" s="249"/>
      <c r="W193" s="249"/>
      <c r="X193" s="249"/>
      <c r="Y193" s="249"/>
      <c r="Z193" s="249"/>
      <c r="AA193" s="249"/>
      <c r="AB193" s="249"/>
      <c r="AC193" s="252">
        <f>IF(ABS(L193)&gt;8,3,0)</f>
        <v>3</v>
      </c>
      <c r="AD193" s="249"/>
      <c r="AE193" s="252">
        <f>SIGN(L193)</f>
        <v>1</v>
      </c>
    </row>
    <row r="194" spans="2:31" ht="4.5" customHeight="1">
      <c r="B194" s="5"/>
      <c r="C194" s="5"/>
      <c r="R194" s="131"/>
      <c r="S194" s="255"/>
      <c r="T194" s="255"/>
      <c r="U194" s="255"/>
      <c r="V194" s="249"/>
      <c r="W194" s="249"/>
      <c r="X194" s="249"/>
      <c r="Y194" s="249"/>
      <c r="Z194" s="249"/>
      <c r="AA194" s="249"/>
      <c r="AB194" s="249"/>
      <c r="AC194" s="252">
        <f>IF(ABS(L189)&gt;7,3,0)</f>
        <v>3</v>
      </c>
      <c r="AD194" s="249"/>
      <c r="AE194" s="252">
        <f>SIGN(L189)</f>
        <v>1</v>
      </c>
    </row>
    <row r="195" spans="2:31" ht="12" customHeight="1">
      <c r="B195" s="5"/>
      <c r="C195" s="5"/>
      <c r="D195" s="67" t="s">
        <v>165</v>
      </c>
      <c r="E195" s="5"/>
      <c r="F195" s="68" t="s">
        <v>211</v>
      </c>
      <c r="G195" s="5"/>
      <c r="H195" s="299" t="s">
        <v>220</v>
      </c>
      <c r="I195" s="299"/>
      <c r="J195" s="299"/>
      <c r="K195" s="299"/>
      <c r="L195" s="69">
        <f>IF(PCm="","",PCm)</f>
        <v>10</v>
      </c>
      <c r="M195" s="5"/>
      <c r="N195" s="294" t="s">
        <v>214</v>
      </c>
      <c r="O195" s="294"/>
      <c r="P195" s="294" t="s">
        <v>208</v>
      </c>
      <c r="Q195" s="294"/>
      <c r="R195" s="131"/>
      <c r="S195" s="255"/>
      <c r="T195" s="255"/>
      <c r="U195" s="255"/>
      <c r="V195" s="249"/>
      <c r="W195" s="249"/>
      <c r="X195" s="249"/>
      <c r="Y195" s="249"/>
      <c r="Z195" s="249"/>
      <c r="AA195" s="249"/>
      <c r="AB195" s="249"/>
      <c r="AC195" s="252" t="e">
        <f>IF(ABS(#REF!)&gt;8,3,0)</f>
        <v>#REF!</v>
      </c>
      <c r="AD195" s="249"/>
      <c r="AE195" s="252" t="e">
        <f>SIGN(#REF!)</f>
        <v>#REF!</v>
      </c>
    </row>
    <row r="196" spans="2:31" ht="12" customHeight="1">
      <c r="B196" s="5"/>
      <c r="C196" s="5"/>
      <c r="D196" s="67"/>
      <c r="E196" s="5"/>
      <c r="F196" s="68" t="s">
        <v>206</v>
      </c>
      <c r="G196" s="5"/>
      <c r="H196" s="314" t="s">
        <v>210</v>
      </c>
      <c r="I196" s="314"/>
      <c r="J196" s="314"/>
      <c r="K196" s="74"/>
      <c r="L196" s="69"/>
      <c r="M196" s="5"/>
      <c r="N196" s="5"/>
      <c r="O196" s="5"/>
      <c r="P196" s="5"/>
      <c r="Q196" s="5"/>
      <c r="R196" s="131"/>
      <c r="S196" s="255"/>
      <c r="T196" s="255"/>
      <c r="U196" s="255"/>
      <c r="V196" s="249"/>
      <c r="W196" s="249"/>
      <c r="X196" s="249"/>
      <c r="Y196" s="249"/>
      <c r="Z196" s="249"/>
      <c r="AA196" s="249"/>
      <c r="AB196" s="249"/>
      <c r="AC196" s="249"/>
      <c r="AD196" s="249"/>
      <c r="AE196" s="249"/>
    </row>
    <row r="197" spans="2:31" ht="3.75" customHeight="1">
      <c r="B197" s="5"/>
      <c r="C197" s="5"/>
      <c r="R197" s="131"/>
      <c r="S197" s="255"/>
      <c r="T197" s="255"/>
      <c r="U197" s="255"/>
      <c r="V197" s="249"/>
      <c r="W197" s="249"/>
      <c r="X197" s="249"/>
      <c r="Y197" s="249"/>
      <c r="Z197" s="249"/>
      <c r="AA197" s="249"/>
      <c r="AB197" s="249"/>
      <c r="AC197" s="252">
        <f>IF(ABS(I196-I198)&gt;10.5,3,0)</f>
        <v>0</v>
      </c>
      <c r="AD197" s="249"/>
      <c r="AE197" s="252">
        <f>SIGN(L196)</f>
        <v>0</v>
      </c>
    </row>
    <row r="198" spans="2:31" ht="12">
      <c r="B198" s="5"/>
      <c r="C198" s="5"/>
      <c r="D198" s="67"/>
      <c r="E198" s="5"/>
      <c r="F198" s="7"/>
      <c r="G198" s="5"/>
      <c r="H198" s="7"/>
      <c r="I198" s="5"/>
      <c r="J198" s="5"/>
      <c r="K198" s="5"/>
      <c r="L198" s="69"/>
      <c r="M198" s="5"/>
      <c r="N198" s="5"/>
      <c r="O198" s="5"/>
      <c r="P198" s="5"/>
      <c r="Q198" s="5"/>
      <c r="R198" s="131"/>
      <c r="S198" s="255"/>
      <c r="T198" s="255"/>
      <c r="U198" s="255"/>
      <c r="V198" s="249"/>
      <c r="W198" s="249"/>
      <c r="X198" s="249"/>
      <c r="Y198" s="249"/>
      <c r="Z198" s="249"/>
      <c r="AA198" s="249"/>
      <c r="AB198" s="249"/>
      <c r="AC198" s="252">
        <f>IF(ABS(I196-I198)&gt;10.5,3,0)</f>
        <v>0</v>
      </c>
      <c r="AD198" s="249"/>
      <c r="AE198" s="252">
        <f>SIGN(L198)</f>
        <v>0</v>
      </c>
    </row>
    <row r="199" spans="2:31" ht="12">
      <c r="B199" s="5"/>
      <c r="C199" s="5"/>
      <c r="D199" s="66" t="s">
        <v>87</v>
      </c>
      <c r="E199" s="5"/>
      <c r="F199" s="68"/>
      <c r="G199" s="5"/>
      <c r="H199" s="7"/>
      <c r="I199" s="5"/>
      <c r="J199" s="5"/>
      <c r="K199" s="5"/>
      <c r="L199" s="69"/>
      <c r="M199" s="5"/>
      <c r="N199" s="5"/>
      <c r="O199" s="5"/>
      <c r="P199" s="5"/>
      <c r="Q199" s="5"/>
      <c r="R199" s="131"/>
      <c r="S199" s="255"/>
      <c r="T199" s="255"/>
      <c r="U199" s="255"/>
      <c r="V199" s="249"/>
      <c r="W199" s="249"/>
      <c r="X199" s="249"/>
      <c r="Y199" s="249"/>
      <c r="Z199" s="249"/>
      <c r="AA199" s="249"/>
      <c r="AB199" s="249"/>
      <c r="AC199" s="249"/>
      <c r="AD199" s="249"/>
      <c r="AE199" s="249"/>
    </row>
    <row r="200" spans="2:31" ht="15" customHeight="1">
      <c r="B200" s="5"/>
      <c r="C200" s="5"/>
      <c r="D200" s="67" t="s">
        <v>157</v>
      </c>
      <c r="E200" s="5"/>
      <c r="F200" s="68" t="s">
        <v>221</v>
      </c>
      <c r="G200" s="5"/>
      <c r="H200" s="314" t="s">
        <v>222</v>
      </c>
      <c r="I200" s="314"/>
      <c r="J200" s="314"/>
      <c r="K200" s="5"/>
      <c r="L200" s="69">
        <f>IF(DS="","",DS)</f>
        <v>12</v>
      </c>
      <c r="M200" s="5"/>
      <c r="N200" s="294" t="s">
        <v>213</v>
      </c>
      <c r="O200" s="294"/>
      <c r="P200" s="294" t="s">
        <v>214</v>
      </c>
      <c r="Q200" s="294"/>
      <c r="R200" s="131"/>
      <c r="S200" s="255"/>
      <c r="T200" s="255"/>
      <c r="U200" s="255"/>
      <c r="V200" s="249"/>
      <c r="W200" s="249"/>
      <c r="X200" s="249"/>
      <c r="Y200" s="249"/>
      <c r="Z200" s="249"/>
      <c r="AA200" s="249"/>
      <c r="AB200" s="249"/>
      <c r="AC200" s="252">
        <f>IF(ABS(J76-L77)&gt;16.5,3,0)</f>
        <v>0</v>
      </c>
      <c r="AD200" s="249"/>
      <c r="AE200" s="252" t="e">
        <f>SIGN(M76)</f>
        <v>#VALUE!</v>
      </c>
    </row>
    <row r="201" spans="2:31" ht="4.5" customHeight="1">
      <c r="B201" s="5"/>
      <c r="C201" s="5"/>
      <c r="D201" s="67"/>
      <c r="E201" s="5"/>
      <c r="F201" s="68"/>
      <c r="G201" s="5"/>
      <c r="H201" s="7"/>
      <c r="I201" s="5"/>
      <c r="J201" s="5"/>
      <c r="K201" s="5"/>
      <c r="L201" s="69"/>
      <c r="M201" s="5"/>
      <c r="N201" s="5"/>
      <c r="O201" s="5"/>
      <c r="P201" s="5"/>
      <c r="Q201" s="5"/>
      <c r="R201" s="131"/>
      <c r="S201" s="255"/>
      <c r="T201" s="255"/>
      <c r="U201" s="255"/>
      <c r="V201" s="249"/>
      <c r="W201" s="249"/>
      <c r="X201" s="249"/>
      <c r="Y201" s="249"/>
      <c r="Z201" s="249"/>
      <c r="AA201" s="249"/>
      <c r="AB201" s="249"/>
      <c r="AC201" s="252">
        <f>IF(ABS(J76-L77)&gt;16.5,3,0)</f>
        <v>0</v>
      </c>
      <c r="AD201" s="249"/>
      <c r="AE201" s="252">
        <f>SIGN(M77)</f>
        <v>0</v>
      </c>
    </row>
    <row r="202" spans="2:31" ht="12">
      <c r="B202" s="5"/>
      <c r="C202" s="5"/>
      <c r="D202" s="67" t="s">
        <v>160</v>
      </c>
      <c r="E202" s="5"/>
      <c r="F202" s="68" t="s">
        <v>223</v>
      </c>
      <c r="G202" s="5"/>
      <c r="H202" s="299" t="s">
        <v>224</v>
      </c>
      <c r="I202" s="299"/>
      <c r="J202" s="299"/>
      <c r="K202" s="299"/>
      <c r="L202" s="69">
        <f>IF(AR="","",AR)</f>
        <v>16</v>
      </c>
      <c r="M202" s="5"/>
      <c r="N202" s="294" t="s">
        <v>213</v>
      </c>
      <c r="O202" s="294"/>
      <c r="P202" s="294" t="s">
        <v>213</v>
      </c>
      <c r="Q202" s="294"/>
      <c r="R202" s="131"/>
      <c r="S202" s="255"/>
      <c r="T202" s="255"/>
      <c r="U202" s="255"/>
      <c r="V202" s="249"/>
      <c r="W202" s="249"/>
      <c r="X202" s="249"/>
      <c r="Y202" s="249"/>
      <c r="Z202" s="249"/>
      <c r="AA202" s="249"/>
      <c r="AB202" s="249"/>
      <c r="AC202" s="252" t="e">
        <f>IF(ABS(L78-#REF!)&gt;16.5,3,0)</f>
        <v>#REF!</v>
      </c>
      <c r="AD202" s="249"/>
      <c r="AE202" s="252" t="e">
        <f>SIGN(M78)</f>
        <v>#VALUE!</v>
      </c>
    </row>
    <row r="203" spans="2:31" ht="11.25" customHeight="1">
      <c r="B203" s="5"/>
      <c r="C203" s="5"/>
      <c r="D203" s="67"/>
      <c r="E203" s="5"/>
      <c r="F203" s="68" t="s">
        <v>216</v>
      </c>
      <c r="G203" s="5"/>
      <c r="H203" s="313" t="s">
        <v>219</v>
      </c>
      <c r="I203" s="313"/>
      <c r="J203" s="313"/>
      <c r="K203" s="5"/>
      <c r="L203" s="69"/>
      <c r="M203" s="5"/>
      <c r="N203" s="5"/>
      <c r="O203" s="5"/>
      <c r="P203" s="5"/>
      <c r="Q203" s="5"/>
      <c r="R203" s="131"/>
      <c r="S203" s="255"/>
      <c r="T203" s="255"/>
      <c r="U203" s="255"/>
      <c r="V203" s="249"/>
      <c r="W203" s="249"/>
      <c r="X203" s="249"/>
      <c r="Y203" s="249"/>
      <c r="Z203" s="249"/>
      <c r="AA203" s="249"/>
      <c r="AB203" s="249"/>
      <c r="AC203" s="252" t="e">
        <f>IF(ABS(L78-#REF!)&gt;16.5,3,0)</f>
        <v>#REF!</v>
      </c>
      <c r="AD203" s="249"/>
      <c r="AE203" s="252" t="e">
        <f>SIGN(#REF!)</f>
        <v>#REF!</v>
      </c>
    </row>
    <row r="204" spans="2:31" ht="5.25" customHeight="1">
      <c r="B204" s="5"/>
      <c r="C204" s="5"/>
      <c r="E204" s="5"/>
      <c r="R204" s="131"/>
      <c r="S204" s="255"/>
      <c r="T204" s="255"/>
      <c r="U204" s="255"/>
      <c r="V204" s="249"/>
      <c r="W204" s="249"/>
      <c r="X204" s="249"/>
      <c r="Y204" s="249"/>
      <c r="Z204" s="249"/>
      <c r="AA204" s="249"/>
      <c r="AB204" s="249"/>
      <c r="AC204" s="252">
        <f>IF(ABS(I202-I203)&gt;18,3,0)</f>
        <v>0</v>
      </c>
      <c r="AD204" s="249"/>
      <c r="AE204" s="252">
        <f>SIGN(L202)</f>
        <v>1</v>
      </c>
    </row>
    <row r="205" spans="2:31" ht="12">
      <c r="B205" s="5"/>
      <c r="C205" s="5"/>
      <c r="D205" s="67" t="s">
        <v>167</v>
      </c>
      <c r="F205" s="68" t="s">
        <v>221</v>
      </c>
      <c r="G205" s="5"/>
      <c r="H205" s="313" t="s">
        <v>87</v>
      </c>
      <c r="I205" s="313"/>
      <c r="J205" s="313"/>
      <c r="K205" s="5"/>
      <c r="L205" s="69">
        <f>IF(lns="","",lns)</f>
        <v>11</v>
      </c>
      <c r="M205" s="5"/>
      <c r="N205" s="294" t="s">
        <v>208</v>
      </c>
      <c r="O205" s="294"/>
      <c r="P205" s="294" t="s">
        <v>214</v>
      </c>
      <c r="Q205" s="294"/>
      <c r="R205" s="131"/>
      <c r="S205" s="255"/>
      <c r="T205" s="255"/>
      <c r="U205" s="255"/>
      <c r="V205" s="249"/>
      <c r="W205" s="249"/>
      <c r="X205" s="249"/>
      <c r="Y205" s="249"/>
      <c r="Z205" s="249"/>
      <c r="AA205" s="249"/>
      <c r="AB205" s="249"/>
      <c r="AC205" s="252">
        <f>IF(ABS(I202-I203)&gt;18,3,0)</f>
        <v>0</v>
      </c>
      <c r="AD205" s="249"/>
      <c r="AE205" s="252">
        <f>SIGN(L203)</f>
        <v>0</v>
      </c>
    </row>
    <row r="206" spans="2:31" ht="12">
      <c r="B206" s="5"/>
      <c r="C206" s="5"/>
      <c r="R206" s="131"/>
      <c r="S206" s="255"/>
      <c r="T206" s="255"/>
      <c r="U206" s="255"/>
      <c r="V206" s="249"/>
      <c r="W206" s="249"/>
      <c r="X206" s="249"/>
      <c r="Y206" s="249"/>
      <c r="Z206" s="249"/>
      <c r="AA206" s="249"/>
      <c r="AB206" s="249"/>
      <c r="AC206" s="252" t="e">
        <f>IF(ABS(#REF!-I207)&gt;16.5,3,0)</f>
        <v>#REF!</v>
      </c>
      <c r="AD206" s="249"/>
      <c r="AE206" s="252" t="e">
        <f>SIGN(#REF!)</f>
        <v>#REF!</v>
      </c>
    </row>
    <row r="207" spans="2:31" ht="12">
      <c r="B207" s="5"/>
      <c r="C207" s="5"/>
      <c r="D207" s="66" t="s">
        <v>92</v>
      </c>
      <c r="E207" s="5"/>
      <c r="F207" s="7"/>
      <c r="G207" s="5"/>
      <c r="H207" s="7"/>
      <c r="I207" s="5"/>
      <c r="J207" s="5"/>
      <c r="K207" s="5"/>
      <c r="L207" s="69"/>
      <c r="M207" s="5"/>
      <c r="N207" s="5"/>
      <c r="O207" s="5"/>
      <c r="P207" s="5"/>
      <c r="Q207" s="5"/>
      <c r="R207" s="131"/>
      <c r="S207" s="255"/>
      <c r="T207" s="255"/>
      <c r="U207" s="255"/>
      <c r="V207" s="249"/>
      <c r="W207" s="249"/>
      <c r="X207" s="249"/>
      <c r="Y207" s="249"/>
      <c r="Z207" s="249"/>
      <c r="AA207" s="249"/>
      <c r="AB207" s="249"/>
      <c r="AC207" s="252" t="e">
        <f>IF(ABS(#REF!-I207)&gt;16.5,3,0)</f>
        <v>#REF!</v>
      </c>
      <c r="AD207" s="249"/>
      <c r="AE207" s="252">
        <f>SIGN(L207)</f>
        <v>0</v>
      </c>
    </row>
    <row r="208" spans="2:31" ht="12">
      <c r="B208" s="5"/>
      <c r="C208" s="5"/>
      <c r="D208" s="67" t="s">
        <v>162</v>
      </c>
      <c r="F208" s="68" t="s">
        <v>225</v>
      </c>
      <c r="G208" s="5"/>
      <c r="H208" s="313" t="s">
        <v>226</v>
      </c>
      <c r="I208" s="313"/>
      <c r="J208" s="313"/>
      <c r="K208" s="5"/>
      <c r="L208" s="69">
        <f>IF(SS="","",SS)</f>
        <v>10</v>
      </c>
      <c r="M208" s="5"/>
      <c r="N208" s="294" t="s">
        <v>213</v>
      </c>
      <c r="O208" s="294"/>
      <c r="P208" s="294" t="s">
        <v>214</v>
      </c>
      <c r="Q208" s="294"/>
      <c r="R208" s="131"/>
      <c r="S208" s="255"/>
      <c r="T208" s="255"/>
      <c r="U208" s="255"/>
      <c r="V208" s="249"/>
      <c r="W208" s="249"/>
      <c r="X208" s="249"/>
      <c r="Y208" s="249"/>
      <c r="Z208" s="249"/>
      <c r="AA208" s="249"/>
      <c r="AB208" s="249"/>
      <c r="AC208" s="252" t="e">
        <f>IF(ABS(J211-#REF!)&gt;18.5,3,0)</f>
        <v>#REF!</v>
      </c>
      <c r="AD208" s="249"/>
      <c r="AE208" s="252">
        <f>SIGN(L211)</f>
        <v>1</v>
      </c>
    </row>
    <row r="209" spans="1:31" ht="14.25" customHeight="1">
      <c r="B209" s="5"/>
      <c r="C209" s="5"/>
      <c r="D209" s="67"/>
      <c r="E209" s="5"/>
      <c r="F209" s="68"/>
      <c r="G209" s="5"/>
      <c r="H209" s="314" t="s">
        <v>227</v>
      </c>
      <c r="I209" s="314"/>
      <c r="J209" s="314"/>
      <c r="K209" s="5"/>
      <c r="L209" s="69"/>
      <c r="M209" s="5"/>
      <c r="N209" s="5"/>
      <c r="O209" s="5"/>
      <c r="P209" s="5"/>
      <c r="Q209" s="5"/>
      <c r="R209" s="131"/>
      <c r="S209" s="255"/>
      <c r="T209" s="255"/>
      <c r="U209" s="255"/>
      <c r="V209" s="249"/>
      <c r="W209" s="249"/>
      <c r="X209" s="249"/>
      <c r="Y209" s="249"/>
      <c r="Z209" s="249"/>
      <c r="AA209" s="249"/>
      <c r="AB209" s="249"/>
      <c r="AC209" s="252" t="e">
        <f>IF(ABS(J211-#REF!)&gt;18.5,3,0)</f>
        <v>#REF!</v>
      </c>
      <c r="AD209" s="249"/>
      <c r="AE209" s="252" t="e">
        <f>SIGN(#REF!)</f>
        <v>#REF!</v>
      </c>
    </row>
    <row r="210" spans="1:31" ht="3.75" customHeight="1">
      <c r="B210" s="5"/>
      <c r="C210" s="5"/>
      <c r="E210" s="5"/>
      <c r="R210" s="131"/>
      <c r="S210" s="255"/>
      <c r="T210" s="255"/>
      <c r="U210" s="255"/>
      <c r="V210" s="249"/>
      <c r="W210" s="249"/>
      <c r="X210" s="249"/>
      <c r="Y210" s="249"/>
      <c r="Z210" s="249"/>
      <c r="AA210" s="249"/>
      <c r="AB210" s="249"/>
      <c r="AC210" s="252" t="e">
        <f>IF(ABS(I208-#REF!)&gt;16.5,3,0)</f>
        <v>#REF!</v>
      </c>
      <c r="AD210" s="249"/>
      <c r="AE210" s="252">
        <f>SIGN(L208)</f>
        <v>1</v>
      </c>
    </row>
    <row r="211" spans="1:31" ht="12">
      <c r="B211" s="5"/>
      <c r="C211" s="5"/>
      <c r="D211" s="67"/>
      <c r="E211" s="67" t="s">
        <v>166</v>
      </c>
      <c r="F211" s="68" t="s">
        <v>225</v>
      </c>
      <c r="H211" s="139" t="s">
        <v>227</v>
      </c>
      <c r="J211" s="104"/>
      <c r="K211" s="104"/>
      <c r="L211" s="69">
        <f>IF(CD="","",CD)</f>
        <v>5</v>
      </c>
      <c r="N211" s="294" t="s">
        <v>213</v>
      </c>
      <c r="O211" s="294"/>
      <c r="P211" s="294" t="s">
        <v>214</v>
      </c>
      <c r="Q211" s="294"/>
      <c r="R211" s="5"/>
      <c r="S211" s="255"/>
      <c r="T211" s="255"/>
      <c r="U211" s="255"/>
      <c r="V211" s="249"/>
      <c r="W211" s="249"/>
      <c r="X211" s="249"/>
      <c r="Y211" s="249"/>
      <c r="Z211" s="249"/>
      <c r="AA211" s="249"/>
      <c r="AB211" s="249"/>
      <c r="AC211" s="252" t="e">
        <f>IF(ABS(I208-#REF!)&gt;16.5,3,0)</f>
        <v>#REF!</v>
      </c>
      <c r="AD211" s="249"/>
      <c r="AE211" s="252" t="e">
        <f>SIGN(M81)</f>
        <v>#VALUE!</v>
      </c>
    </row>
    <row r="212" spans="1:31" ht="4.5" customHeight="1">
      <c r="B212" s="5"/>
      <c r="C212" s="5"/>
      <c r="R212" s="2"/>
      <c r="S212" s="255"/>
      <c r="T212" s="255"/>
      <c r="U212" s="255"/>
      <c r="V212" s="249"/>
      <c r="W212" s="249"/>
      <c r="X212" s="249"/>
      <c r="Y212" s="249"/>
      <c r="Z212" s="249"/>
      <c r="AA212" s="249"/>
      <c r="AB212" s="249"/>
      <c r="AC212" s="249"/>
      <c r="AD212" s="249"/>
      <c r="AE212" s="249"/>
    </row>
    <row r="213" spans="1:31" ht="12">
      <c r="B213" s="5"/>
      <c r="C213" s="5"/>
      <c r="D213" s="67" t="s">
        <v>168</v>
      </c>
      <c r="E213" s="5"/>
      <c r="F213" s="68" t="s">
        <v>225</v>
      </c>
      <c r="G213" s="5"/>
      <c r="H213" s="313" t="s">
        <v>226</v>
      </c>
      <c r="I213" s="313"/>
      <c r="J213" s="313"/>
      <c r="K213" s="5"/>
      <c r="L213" s="69">
        <f>IF(CA="","",CA)</f>
        <v>7</v>
      </c>
      <c r="M213" s="5"/>
      <c r="N213" s="294" t="s">
        <v>214</v>
      </c>
      <c r="O213" s="294"/>
      <c r="P213" s="294" t="s">
        <v>214</v>
      </c>
      <c r="Q213" s="294"/>
      <c r="R213" s="131"/>
      <c r="S213" s="255"/>
      <c r="T213" s="255"/>
      <c r="U213" s="255"/>
      <c r="V213" s="249"/>
      <c r="W213" s="249"/>
      <c r="X213" s="249"/>
      <c r="Y213" s="249"/>
      <c r="Z213" s="249"/>
      <c r="AA213" s="249"/>
      <c r="AB213" s="249"/>
      <c r="AC213" s="252">
        <f>IF(ABS(L83-J84)&gt;15.5,3,0)</f>
        <v>0</v>
      </c>
      <c r="AD213" s="249"/>
      <c r="AE213" s="252" t="e">
        <f t="shared" ref="AE213:AE218" si="11">SIGN(M83)</f>
        <v>#VALUE!</v>
      </c>
    </row>
    <row r="214" spans="1:31">
      <c r="B214" s="5"/>
      <c r="C214" s="5"/>
      <c r="D214" s="7"/>
      <c r="E214" s="5"/>
      <c r="F214" s="5"/>
      <c r="G214" s="5"/>
      <c r="H214" s="7"/>
      <c r="I214" s="7"/>
      <c r="J214" s="5"/>
      <c r="K214" s="5"/>
      <c r="L214" s="69"/>
      <c r="M214" s="5"/>
      <c r="N214" s="5"/>
      <c r="O214" s="5"/>
      <c r="P214" s="5"/>
      <c r="Q214" s="5"/>
      <c r="S214" s="249"/>
      <c r="T214" s="249"/>
      <c r="U214" s="249"/>
      <c r="V214" s="249"/>
      <c r="W214" s="249"/>
      <c r="X214" s="249"/>
      <c r="Y214" s="249"/>
      <c r="Z214" s="249"/>
      <c r="AA214" s="249"/>
      <c r="AB214" s="249"/>
      <c r="AC214" s="252">
        <f>IF(ABS(L83-J84)&gt;15.5,3,0)</f>
        <v>0</v>
      </c>
      <c r="AD214" s="249"/>
      <c r="AE214" s="252">
        <f t="shared" si="11"/>
        <v>0</v>
      </c>
    </row>
    <row r="215" spans="1:31" ht="12" customHeight="1">
      <c r="B215" s="5"/>
      <c r="C215" s="5"/>
      <c r="D215" s="299" t="s">
        <v>228</v>
      </c>
      <c r="E215" s="299"/>
      <c r="F215" s="299"/>
      <c r="G215" s="299"/>
      <c r="H215" s="299"/>
      <c r="I215" s="299"/>
      <c r="J215" s="299"/>
      <c r="K215" s="299"/>
      <c r="L215" s="299"/>
      <c r="M215" s="299"/>
      <c r="N215" s="299"/>
      <c r="O215" s="299"/>
      <c r="P215" s="299"/>
      <c r="Q215" s="299"/>
      <c r="S215" s="249"/>
      <c r="T215" s="249"/>
      <c r="U215" s="249"/>
      <c r="V215" s="249"/>
      <c r="W215" s="249"/>
      <c r="X215" s="249"/>
      <c r="Y215" s="249"/>
      <c r="Z215" s="249"/>
      <c r="AA215" s="249"/>
      <c r="AB215" s="249"/>
      <c r="AC215" s="252">
        <f>IF(ABS(J85-J86)&gt;12.5,3,0)</f>
        <v>0</v>
      </c>
      <c r="AD215" s="249"/>
      <c r="AE215" s="252">
        <f t="shared" si="11"/>
        <v>0</v>
      </c>
    </row>
    <row r="216" spans="1:31">
      <c r="B216" s="5"/>
      <c r="C216" s="5"/>
      <c r="D216" s="299"/>
      <c r="E216" s="299"/>
      <c r="F216" s="299"/>
      <c r="G216" s="299"/>
      <c r="H216" s="299"/>
      <c r="I216" s="299"/>
      <c r="J216" s="299"/>
      <c r="K216" s="299"/>
      <c r="L216" s="299"/>
      <c r="M216" s="299"/>
      <c r="N216" s="299"/>
      <c r="O216" s="299"/>
      <c r="P216" s="299"/>
      <c r="Q216" s="299"/>
      <c r="S216" s="249"/>
      <c r="T216" s="249"/>
      <c r="U216" s="249"/>
      <c r="V216" s="249"/>
      <c r="W216" s="249"/>
      <c r="X216" s="249"/>
      <c r="Y216" s="249"/>
      <c r="Z216" s="249"/>
      <c r="AA216" s="249"/>
      <c r="AB216" s="249"/>
      <c r="AC216" s="252">
        <f>IF(ABS(J85-J86)&gt;12.5,3,0)</f>
        <v>0</v>
      </c>
      <c r="AD216" s="249"/>
      <c r="AE216" s="252">
        <f t="shared" si="11"/>
        <v>0</v>
      </c>
    </row>
    <row r="217" spans="1:31">
      <c r="B217" s="5"/>
      <c r="C217" s="5"/>
      <c r="D217" s="299"/>
      <c r="E217" s="299"/>
      <c r="F217" s="299"/>
      <c r="G217" s="299"/>
      <c r="H217" s="299"/>
      <c r="I217" s="299"/>
      <c r="J217" s="299"/>
      <c r="K217" s="299"/>
      <c r="L217" s="299"/>
      <c r="M217" s="299"/>
      <c r="N217" s="299"/>
      <c r="O217" s="299"/>
      <c r="P217" s="299"/>
      <c r="Q217" s="299"/>
      <c r="S217" s="249"/>
      <c r="T217" s="249"/>
      <c r="U217" s="249"/>
      <c r="V217" s="249"/>
      <c r="W217" s="249"/>
      <c r="X217" s="249"/>
      <c r="Y217" s="249"/>
      <c r="Z217" s="249"/>
      <c r="AA217" s="249"/>
      <c r="AB217" s="249"/>
      <c r="AC217" s="252">
        <f>IF(ABS(J87-J88)&gt;16.5,3,0)</f>
        <v>0</v>
      </c>
      <c r="AD217" s="249"/>
      <c r="AE217" s="252">
        <f t="shared" si="11"/>
        <v>0</v>
      </c>
    </row>
    <row r="218" spans="1:31">
      <c r="S218" s="249"/>
      <c r="T218" s="249"/>
      <c r="U218" s="249"/>
      <c r="V218" s="249"/>
      <c r="W218" s="249"/>
      <c r="X218" s="249"/>
      <c r="Y218" s="249"/>
      <c r="Z218" s="249"/>
      <c r="AA218" s="249"/>
      <c r="AB218" s="249"/>
      <c r="AC218" s="252">
        <f>IF(ABS(J87-J88)&gt;16.5,3,0)</f>
        <v>0</v>
      </c>
      <c r="AD218" s="249"/>
      <c r="AE218" s="252">
        <f t="shared" si="11"/>
        <v>0</v>
      </c>
    </row>
    <row r="219" spans="1:31">
      <c r="S219" s="249"/>
      <c r="T219" s="249"/>
      <c r="U219" s="249"/>
      <c r="V219" s="249"/>
      <c r="W219" s="249"/>
      <c r="X219" s="249"/>
      <c r="Y219" s="249"/>
      <c r="Z219" s="249"/>
      <c r="AA219" s="249"/>
      <c r="AB219" s="249"/>
      <c r="AC219" s="252">
        <f>IF(ABS(I219-I220)&gt;15.5,3,0)</f>
        <v>0</v>
      </c>
      <c r="AD219" s="249"/>
      <c r="AE219" s="252">
        <f t="shared" ref="AE219:AE224" si="12">SIGN(L219)</f>
        <v>0</v>
      </c>
    </row>
    <row r="220" spans="1:31" ht="12">
      <c r="A220" s="37"/>
      <c r="B220" s="181" t="s">
        <v>229</v>
      </c>
      <c r="C220" s="182"/>
      <c r="D220" s="124"/>
      <c r="E220" s="182"/>
      <c r="F220" s="182"/>
      <c r="G220" s="182"/>
      <c r="H220" s="182"/>
      <c r="I220" s="182"/>
      <c r="J220" s="182"/>
      <c r="K220" s="182"/>
      <c r="L220" s="182"/>
      <c r="M220" s="182"/>
      <c r="N220" s="182"/>
      <c r="O220" s="182"/>
      <c r="P220" s="182"/>
      <c r="Q220" s="182"/>
      <c r="R220" s="131"/>
      <c r="S220" s="255"/>
      <c r="T220" s="255"/>
      <c r="U220" s="255"/>
      <c r="V220" s="255"/>
      <c r="W220" s="255"/>
      <c r="X220" s="249"/>
      <c r="Y220" s="249"/>
      <c r="Z220" s="249"/>
      <c r="AA220" s="249"/>
      <c r="AB220" s="249"/>
      <c r="AC220" s="252">
        <f>IF(ABS(I219-I220)&gt;15.5,3,0)</f>
        <v>0</v>
      </c>
      <c r="AD220" s="249"/>
      <c r="AE220" s="252">
        <f t="shared" si="12"/>
        <v>0</v>
      </c>
    </row>
    <row r="221" spans="1:31" ht="7.5" customHeight="1">
      <c r="A221" s="37"/>
      <c r="B221" s="37"/>
      <c r="C221" s="37"/>
      <c r="D221" s="37"/>
      <c r="E221" s="37"/>
      <c r="F221" s="37"/>
      <c r="G221" s="37"/>
      <c r="H221" s="37"/>
      <c r="I221" s="37"/>
      <c r="J221" s="37"/>
      <c r="K221" s="37"/>
      <c r="L221" s="37"/>
      <c r="M221" s="37"/>
      <c r="N221" s="37"/>
      <c r="O221" s="37"/>
      <c r="P221" s="37"/>
      <c r="Q221" s="37"/>
      <c r="R221" s="131"/>
      <c r="S221" s="255"/>
      <c r="T221" s="255"/>
      <c r="U221" s="255"/>
      <c r="V221" s="255"/>
      <c r="W221" s="255"/>
      <c r="X221" s="249"/>
      <c r="Y221" s="249"/>
      <c r="Z221" s="249"/>
      <c r="AA221" s="249"/>
      <c r="AB221" s="249"/>
      <c r="AC221" s="252">
        <f>IF(ABS(I221-I222)&gt;15,3,0)</f>
        <v>0</v>
      </c>
      <c r="AD221" s="249"/>
      <c r="AE221" s="252">
        <f t="shared" si="12"/>
        <v>0</v>
      </c>
    </row>
    <row r="222" spans="1:31" ht="17.25" customHeight="1">
      <c r="A222" s="37"/>
      <c r="B222" s="155"/>
      <c r="C222" s="155"/>
      <c r="D222" s="183" t="s">
        <v>230</v>
      </c>
      <c r="E222" s="155"/>
      <c r="F222" s="184">
        <f>(1.0660036*V222)+36.039785</f>
        <v>114.9240514</v>
      </c>
      <c r="G222" s="37"/>
      <c r="H222" s="293" t="str">
        <f>IF(ABS(F222-F223)&gt;=9,"There is a significant difference between the two Indexes.","There is no difference between the two Indexes.")</f>
        <v>There is a significant difference between the two Indexes.</v>
      </c>
      <c r="I222" s="293"/>
      <c r="J222" s="293"/>
      <c r="K222" s="293"/>
      <c r="L222" s="293"/>
      <c r="M222" s="293"/>
      <c r="N222" s="293"/>
      <c r="O222" s="293"/>
      <c r="P222" s="293"/>
      <c r="Q222" s="293"/>
      <c r="R222" s="131"/>
      <c r="S222" s="255"/>
      <c r="T222" s="255"/>
      <c r="U222" s="249">
        <f>IF(W21=3,W13)</f>
        <v>39</v>
      </c>
      <c r="V222" s="255">
        <f>U222+U223</f>
        <v>74</v>
      </c>
      <c r="W222" s="255"/>
      <c r="X222" s="249"/>
      <c r="Y222" s="249"/>
      <c r="Z222" s="249"/>
      <c r="AA222" s="249"/>
      <c r="AB222" s="249"/>
      <c r="AC222" s="252">
        <f>IF(ABS(I221-I222)&gt;15,3,0)</f>
        <v>0</v>
      </c>
      <c r="AD222" s="249"/>
      <c r="AE222" s="252">
        <f t="shared" si="12"/>
        <v>0</v>
      </c>
    </row>
    <row r="223" spans="1:31" ht="17.25" customHeight="1">
      <c r="A223" s="37"/>
      <c r="B223" s="155"/>
      <c r="C223" s="155"/>
      <c r="D223" s="183" t="s">
        <v>231</v>
      </c>
      <c r="E223" s="155"/>
      <c r="F223" s="184">
        <f>(1.597194*V224)+36.112344</f>
        <v>104.791686</v>
      </c>
      <c r="G223" s="37"/>
      <c r="H223" s="293"/>
      <c r="I223" s="293"/>
      <c r="J223" s="293"/>
      <c r="K223" s="293"/>
      <c r="L223" s="293"/>
      <c r="M223" s="293"/>
      <c r="N223" s="293"/>
      <c r="O223" s="293"/>
      <c r="P223" s="293"/>
      <c r="Q223" s="293"/>
      <c r="R223" s="131"/>
      <c r="S223" s="255"/>
      <c r="T223" s="255"/>
      <c r="U223" s="249">
        <f>IF(W20=3,Y13)</f>
        <v>35</v>
      </c>
      <c r="V223" s="255"/>
      <c r="W223" s="255"/>
      <c r="X223" s="249"/>
      <c r="Y223" s="249"/>
      <c r="Z223" s="249"/>
      <c r="AA223" s="249"/>
      <c r="AB223" s="249"/>
      <c r="AC223" s="252">
        <f>IF(ABS(I223-I224)&gt;17.5,3,0)</f>
        <v>0</v>
      </c>
      <c r="AD223" s="249"/>
      <c r="AE223" s="252">
        <f t="shared" si="12"/>
        <v>0</v>
      </c>
    </row>
    <row r="224" spans="1:31" ht="3" customHeight="1">
      <c r="A224" s="37"/>
      <c r="B224" s="37"/>
      <c r="C224" s="37"/>
      <c r="D224" s="37"/>
      <c r="E224" s="37"/>
      <c r="F224" s="37"/>
      <c r="G224" s="37"/>
      <c r="H224" s="37"/>
      <c r="I224" s="37"/>
      <c r="J224" s="37"/>
      <c r="K224" s="37"/>
      <c r="L224" s="37"/>
      <c r="M224" s="37"/>
      <c r="N224" s="37"/>
      <c r="O224" s="37"/>
      <c r="P224" s="37"/>
      <c r="Q224" s="37"/>
      <c r="R224" s="131"/>
      <c r="S224" s="255"/>
      <c r="T224" s="255"/>
      <c r="U224" s="265">
        <f>IF(AB43&lt;2,"",AA13)</f>
        <v>28</v>
      </c>
      <c r="V224" s="255">
        <f>U224+U225</f>
        <v>43</v>
      </c>
      <c r="W224" s="255"/>
      <c r="X224" s="249"/>
      <c r="Y224" s="249"/>
      <c r="Z224" s="249"/>
      <c r="AA224" s="249"/>
      <c r="AB224" s="249"/>
      <c r="AC224" s="252">
        <f>IF(ABS(I223-I224)&gt;17.5,3,0)</f>
        <v>0</v>
      </c>
      <c r="AD224" s="249"/>
      <c r="AE224" s="252">
        <f t="shared" si="12"/>
        <v>0</v>
      </c>
    </row>
    <row r="225" spans="1:85" ht="29.25" customHeight="1">
      <c r="A225" s="37"/>
      <c r="B225" s="298" t="s">
        <v>232</v>
      </c>
      <c r="C225" s="298"/>
      <c r="D225" s="298"/>
      <c r="E225" s="298"/>
      <c r="F225" s="298"/>
      <c r="G225" s="298"/>
      <c r="H225" s="298"/>
      <c r="I225" s="298"/>
      <c r="J225" s="298"/>
      <c r="K225" s="298"/>
      <c r="L225" s="298"/>
      <c r="M225" s="298"/>
      <c r="N225" s="298"/>
      <c r="O225" s="298"/>
      <c r="P225" s="298"/>
      <c r="Q225" s="298"/>
      <c r="R225" s="131"/>
      <c r="S225" s="255"/>
      <c r="T225" s="255"/>
      <c r="U225" s="265">
        <f>IF(AE43&lt;2,"",AC13)</f>
        <v>15</v>
      </c>
      <c r="V225" s="255"/>
      <c r="W225" s="255"/>
      <c r="X225" s="249"/>
      <c r="Y225" s="249"/>
      <c r="Z225" s="249"/>
      <c r="AA225" s="249"/>
      <c r="AB225" s="249"/>
      <c r="AC225" s="249"/>
      <c r="AD225" s="249"/>
      <c r="AE225" s="249"/>
      <c r="AF225" s="249"/>
      <c r="AG225" s="249"/>
      <c r="AH225" s="249"/>
      <c r="AI225" s="249"/>
      <c r="AJ225" s="249"/>
      <c r="AK225" s="249"/>
      <c r="AL225" s="249"/>
      <c r="AM225" s="249"/>
      <c r="AN225" s="249"/>
      <c r="AO225" s="249"/>
      <c r="AP225" s="249"/>
      <c r="AQ225" s="249"/>
      <c r="AR225" s="249"/>
      <c r="AS225" s="249"/>
      <c r="AT225" s="249"/>
      <c r="AU225" s="249"/>
      <c r="AV225" s="249"/>
      <c r="AW225" s="249"/>
      <c r="AX225" s="249"/>
      <c r="AY225" s="249"/>
      <c r="AZ225" s="249"/>
      <c r="BA225" s="249"/>
      <c r="BB225" s="249"/>
      <c r="BC225" s="249"/>
      <c r="BD225" s="249"/>
      <c r="BE225" s="249"/>
      <c r="BF225" s="249"/>
      <c r="BG225" s="249"/>
      <c r="BH225" s="249"/>
      <c r="BI225" s="249"/>
      <c r="BJ225" s="249"/>
      <c r="BK225" s="249"/>
      <c r="BL225" s="249"/>
      <c r="BM225" s="249"/>
      <c r="BN225" s="249"/>
      <c r="BO225" s="249"/>
      <c r="BP225" s="249"/>
      <c r="BQ225" s="249"/>
      <c r="BR225" s="249"/>
      <c r="BS225" s="260"/>
      <c r="BT225" s="260"/>
      <c r="BU225" s="260"/>
      <c r="BV225" s="260"/>
      <c r="BW225" s="260"/>
      <c r="BX225" s="260"/>
      <c r="BY225" s="260"/>
      <c r="BZ225" s="260"/>
      <c r="CA225" s="260"/>
      <c r="CB225" s="260"/>
      <c r="CC225" s="260"/>
      <c r="CD225" s="260"/>
      <c r="CE225" s="260"/>
      <c r="CF225" s="260"/>
      <c r="CG225" s="260"/>
    </row>
    <row r="226" spans="1:85" ht="5.25" customHeight="1">
      <c r="A226" s="37"/>
      <c r="B226" s="185"/>
      <c r="C226" s="185"/>
      <c r="D226" s="185"/>
      <c r="E226" s="185"/>
      <c r="F226" s="185"/>
      <c r="G226" s="185"/>
      <c r="H226" s="185"/>
      <c r="I226" s="185"/>
      <c r="J226" s="185"/>
      <c r="K226" s="185"/>
      <c r="L226" s="185"/>
      <c r="M226" s="185"/>
      <c r="N226" s="185"/>
      <c r="O226" s="185"/>
      <c r="P226" s="185"/>
      <c r="Q226" s="185"/>
      <c r="R226" s="131"/>
      <c r="S226" s="255"/>
      <c r="T226" s="255"/>
      <c r="U226" s="255"/>
      <c r="V226" s="255"/>
      <c r="W226" s="255"/>
      <c r="X226" s="249"/>
      <c r="Y226" s="249"/>
      <c r="Z226" s="249"/>
      <c r="AA226" s="249"/>
      <c r="AB226" s="249"/>
      <c r="AC226" s="249"/>
      <c r="AD226" s="249"/>
      <c r="AE226" s="249"/>
      <c r="AF226" s="249"/>
      <c r="AG226" s="249"/>
      <c r="AH226" s="249"/>
      <c r="AI226" s="249"/>
      <c r="AJ226" s="249"/>
      <c r="AK226" s="249"/>
      <c r="AL226" s="249"/>
      <c r="AM226" s="249"/>
      <c r="AN226" s="249"/>
      <c r="AO226" s="249"/>
      <c r="AP226" s="249"/>
      <c r="AQ226" s="249"/>
      <c r="AR226" s="249"/>
      <c r="AS226" s="249"/>
      <c r="AT226" s="249"/>
      <c r="AU226" s="249"/>
      <c r="AV226" s="249"/>
      <c r="AW226" s="249"/>
      <c r="AX226" s="249"/>
      <c r="AY226" s="249"/>
      <c r="AZ226" s="249"/>
      <c r="BA226" s="249"/>
      <c r="BB226" s="249"/>
      <c r="BC226" s="249"/>
      <c r="BD226" s="249"/>
      <c r="BE226" s="249"/>
      <c r="BF226" s="249"/>
      <c r="BG226" s="249"/>
      <c r="BH226" s="249"/>
      <c r="BI226" s="249"/>
      <c r="BJ226" s="249"/>
      <c r="BK226" s="249"/>
      <c r="BL226" s="249"/>
      <c r="BM226" s="249"/>
      <c r="BN226" s="249"/>
      <c r="BO226" s="249"/>
      <c r="BP226" s="249"/>
      <c r="BQ226" s="249"/>
      <c r="BR226" s="249"/>
      <c r="BS226" s="260"/>
      <c r="BT226" s="260"/>
      <c r="BU226" s="260"/>
      <c r="BV226" s="260"/>
      <c r="BW226" s="260"/>
      <c r="BX226" s="260"/>
      <c r="BY226" s="260"/>
      <c r="BZ226" s="260"/>
      <c r="CA226" s="260"/>
      <c r="CB226" s="260"/>
      <c r="CC226" s="260"/>
      <c r="CD226" s="260"/>
      <c r="CE226" s="260"/>
      <c r="CF226" s="260"/>
      <c r="CG226" s="260"/>
    </row>
    <row r="227" spans="1:85" ht="83.25" customHeight="1">
      <c r="A227" s="37"/>
      <c r="B227" s="297" t="s">
        <v>233</v>
      </c>
      <c r="C227" s="297"/>
      <c r="D227" s="297"/>
      <c r="E227" s="297"/>
      <c r="F227" s="297"/>
      <c r="G227" s="297"/>
      <c r="H227" s="297"/>
      <c r="I227" s="297"/>
      <c r="J227" s="297"/>
      <c r="K227" s="297"/>
      <c r="L227" s="297"/>
      <c r="M227" s="297"/>
      <c r="N227" s="297"/>
      <c r="O227" s="297"/>
      <c r="P227" s="297"/>
      <c r="Q227" s="297"/>
      <c r="R227" s="131"/>
      <c r="S227" s="255"/>
      <c r="T227" s="255"/>
      <c r="U227" s="255"/>
      <c r="V227" s="255"/>
      <c r="W227" s="255"/>
      <c r="X227" s="249"/>
      <c r="Y227" s="249"/>
      <c r="Z227" s="249"/>
      <c r="AA227" s="249"/>
      <c r="AB227" s="249"/>
      <c r="AC227" s="249"/>
      <c r="AD227" s="249"/>
      <c r="AE227" s="249"/>
      <c r="AF227" s="249"/>
      <c r="AG227" s="249"/>
      <c r="AH227" s="249"/>
      <c r="AI227" s="249"/>
      <c r="AJ227" s="249"/>
      <c r="AK227" s="249"/>
      <c r="AL227" s="249"/>
      <c r="AM227" s="249"/>
      <c r="AN227" s="249"/>
      <c r="AO227" s="249"/>
      <c r="AP227" s="249"/>
      <c r="AQ227" s="249"/>
      <c r="AR227" s="249"/>
      <c r="AS227" s="249"/>
      <c r="AT227" s="249"/>
      <c r="AU227" s="249"/>
      <c r="AV227" s="249"/>
      <c r="AW227" s="249"/>
      <c r="AX227" s="249"/>
      <c r="AY227" s="249"/>
      <c r="AZ227" s="249"/>
      <c r="BA227" s="249"/>
      <c r="BB227" s="249"/>
      <c r="BC227" s="249"/>
      <c r="BD227" s="249"/>
      <c r="BE227" s="249"/>
      <c r="BF227" s="249"/>
      <c r="BG227" s="249"/>
      <c r="BH227" s="249"/>
      <c r="BI227" s="249"/>
      <c r="BJ227" s="249"/>
      <c r="BK227" s="249"/>
      <c r="BL227" s="249"/>
      <c r="BM227" s="249"/>
      <c r="BN227" s="249"/>
      <c r="BO227" s="249"/>
      <c r="BP227" s="249"/>
      <c r="BQ227" s="249"/>
      <c r="BR227" s="249"/>
      <c r="BS227" s="260"/>
      <c r="BT227" s="260"/>
      <c r="BU227" s="260"/>
      <c r="BV227" s="260"/>
      <c r="BW227" s="260"/>
      <c r="BX227" s="260"/>
      <c r="BY227" s="260"/>
      <c r="BZ227" s="260"/>
      <c r="CA227" s="260"/>
      <c r="CB227" s="260"/>
      <c r="CC227" s="260"/>
      <c r="CD227" s="260"/>
      <c r="CE227" s="260"/>
      <c r="CF227" s="260"/>
      <c r="CG227" s="260"/>
    </row>
    <row r="228" spans="1:85" ht="1.5" customHeight="1">
      <c r="A228" s="37"/>
      <c r="B228" s="37"/>
      <c r="C228" s="37"/>
      <c r="D228" s="5"/>
      <c r="E228" s="5"/>
      <c r="F228" s="5"/>
      <c r="G228" s="5"/>
      <c r="H228" s="5"/>
      <c r="I228" s="5"/>
      <c r="J228" s="5"/>
      <c r="K228" s="5"/>
      <c r="L228" s="5"/>
      <c r="M228" s="5"/>
      <c r="N228" s="5"/>
      <c r="O228" s="5"/>
      <c r="P228" s="37"/>
      <c r="Q228" s="37"/>
      <c r="R228" s="131"/>
      <c r="S228" s="255"/>
      <c r="T228" s="255"/>
      <c r="U228" s="255"/>
      <c r="V228" s="255"/>
      <c r="W228" s="255"/>
      <c r="X228" s="249"/>
      <c r="Y228" s="249"/>
      <c r="Z228" s="249"/>
      <c r="AA228" s="249"/>
      <c r="AB228" s="249"/>
      <c r="AC228" s="249"/>
      <c r="AD228" s="249"/>
      <c r="AE228" s="249"/>
      <c r="AF228" s="249"/>
      <c r="AG228" s="249"/>
      <c r="AH228" s="249"/>
      <c r="AI228" s="249"/>
      <c r="AJ228" s="249"/>
      <c r="AK228" s="249"/>
      <c r="AL228" s="249"/>
      <c r="AM228" s="249"/>
      <c r="AN228" s="249"/>
      <c r="AO228" s="249"/>
      <c r="AP228" s="249"/>
      <c r="AQ228" s="249"/>
      <c r="AR228" s="249"/>
      <c r="AS228" s="249"/>
      <c r="AT228" s="249"/>
      <c r="AU228" s="249"/>
      <c r="AV228" s="249"/>
      <c r="AW228" s="249"/>
      <c r="AX228" s="249"/>
      <c r="AY228" s="249"/>
      <c r="AZ228" s="249"/>
      <c r="BA228" s="249"/>
      <c r="BB228" s="249"/>
      <c r="BC228" s="249"/>
      <c r="BD228" s="249"/>
      <c r="BE228" s="249"/>
      <c r="BF228" s="249"/>
      <c r="BG228" s="249"/>
      <c r="BH228" s="249"/>
      <c r="BI228" s="249"/>
      <c r="BJ228" s="249"/>
      <c r="BK228" s="249"/>
      <c r="BL228" s="249"/>
      <c r="BM228" s="249"/>
      <c r="BN228" s="249"/>
      <c r="BO228" s="249"/>
      <c r="BP228" s="249"/>
      <c r="BQ228" s="249"/>
      <c r="BR228" s="249"/>
      <c r="BS228" s="260"/>
      <c r="BT228" s="260"/>
      <c r="BU228" s="260"/>
      <c r="BV228" s="260"/>
      <c r="BW228" s="260"/>
      <c r="BX228" s="260"/>
      <c r="BY228" s="260"/>
      <c r="BZ228" s="260"/>
      <c r="CA228" s="260"/>
      <c r="CB228" s="260"/>
      <c r="CC228" s="260"/>
      <c r="CD228" s="260"/>
      <c r="CE228" s="260"/>
      <c r="CF228" s="260"/>
      <c r="CG228" s="260"/>
    </row>
    <row r="229" spans="1:85" ht="1.5" customHeight="1">
      <c r="A229" s="37"/>
      <c r="B229" s="37"/>
      <c r="C229" s="37"/>
      <c r="P229" s="37"/>
      <c r="Q229" s="37"/>
      <c r="R229" s="131"/>
      <c r="S229" s="255"/>
      <c r="T229" s="255"/>
      <c r="U229" s="255"/>
      <c r="V229" s="255"/>
      <c r="W229" s="255"/>
      <c r="X229" s="249"/>
      <c r="Y229" s="249"/>
      <c r="Z229" s="249"/>
      <c r="AA229" s="249"/>
      <c r="AB229" s="249"/>
      <c r="AC229" s="249"/>
      <c r="AD229" s="249"/>
      <c r="AE229" s="249"/>
      <c r="AF229" s="249"/>
      <c r="AG229" s="249"/>
      <c r="AH229" s="249"/>
      <c r="AI229" s="249"/>
      <c r="AJ229" s="249"/>
      <c r="AK229" s="249"/>
      <c r="AL229" s="249"/>
      <c r="AM229" s="249"/>
      <c r="AN229" s="249"/>
      <c r="AO229" s="249"/>
      <c r="AP229" s="249"/>
      <c r="AQ229" s="249"/>
      <c r="AR229" s="249"/>
      <c r="AS229" s="249"/>
      <c r="AT229" s="249"/>
      <c r="AU229" s="249"/>
      <c r="AV229" s="249"/>
      <c r="AW229" s="249"/>
      <c r="AX229" s="249"/>
      <c r="AY229" s="249"/>
      <c r="AZ229" s="249"/>
      <c r="BA229" s="249"/>
      <c r="BB229" s="249"/>
      <c r="BC229" s="249"/>
      <c r="BD229" s="249"/>
      <c r="BE229" s="249"/>
      <c r="BF229" s="249"/>
      <c r="BG229" s="249"/>
      <c r="BH229" s="249"/>
      <c r="BI229" s="249"/>
      <c r="BJ229" s="249"/>
      <c r="BK229" s="249"/>
      <c r="BL229" s="249"/>
      <c r="BM229" s="249"/>
      <c r="BN229" s="249"/>
      <c r="BO229" s="249"/>
      <c r="BP229" s="249"/>
      <c r="BQ229" s="249"/>
      <c r="BR229" s="249"/>
      <c r="BS229" s="260"/>
      <c r="BT229" s="260"/>
      <c r="BU229" s="260"/>
      <c r="BV229" s="260"/>
      <c r="BW229" s="260"/>
      <c r="BX229" s="260"/>
      <c r="BY229" s="260"/>
      <c r="BZ229" s="260"/>
      <c r="CA229" s="260"/>
      <c r="CB229" s="260"/>
      <c r="CC229" s="260"/>
      <c r="CD229" s="260"/>
      <c r="CE229" s="260"/>
      <c r="CF229" s="260"/>
      <c r="CG229" s="260"/>
    </row>
    <row r="230" spans="1:85" ht="6.75" customHeight="1" thickBot="1">
      <c r="A230" s="37"/>
      <c r="B230" s="37"/>
      <c r="C230" s="37"/>
      <c r="P230" s="37"/>
      <c r="Q230" s="37"/>
      <c r="R230" s="131"/>
      <c r="S230" s="255"/>
      <c r="T230" s="255"/>
      <c r="U230" s="255"/>
      <c r="V230" s="255"/>
      <c r="W230" s="255"/>
      <c r="X230" s="249"/>
      <c r="Y230" s="249"/>
      <c r="Z230" s="249"/>
      <c r="AA230" s="249"/>
      <c r="AB230" s="249"/>
      <c r="AC230" s="249"/>
      <c r="AD230" s="249"/>
      <c r="AE230" s="249"/>
      <c r="AF230" s="249"/>
      <c r="AG230" s="249"/>
      <c r="AH230" s="249"/>
      <c r="AI230" s="249"/>
      <c r="AJ230" s="249"/>
      <c r="AK230" s="249"/>
      <c r="AL230" s="249"/>
      <c r="AM230" s="249"/>
      <c r="AN230" s="249"/>
      <c r="AO230" s="249"/>
      <c r="AP230" s="249"/>
      <c r="AQ230" s="249"/>
      <c r="AR230" s="249"/>
      <c r="AS230" s="249"/>
      <c r="AT230" s="249"/>
      <c r="AU230" s="249"/>
      <c r="AV230" s="249"/>
      <c r="AW230" s="249"/>
      <c r="AX230" s="249"/>
      <c r="AY230" s="249"/>
      <c r="AZ230" s="249"/>
      <c r="BA230" s="249"/>
      <c r="BB230" s="249"/>
      <c r="BC230" s="249"/>
      <c r="BD230" s="249"/>
      <c r="BE230" s="249"/>
      <c r="BF230" s="249"/>
      <c r="BG230" s="249"/>
      <c r="BH230" s="249"/>
      <c r="BI230" s="249"/>
      <c r="BJ230" s="249"/>
      <c r="BK230" s="249"/>
      <c r="BL230" s="249"/>
      <c r="BM230" s="249"/>
      <c r="BN230" s="249"/>
      <c r="BO230" s="249"/>
      <c r="BP230" s="249"/>
      <c r="BQ230" s="249"/>
      <c r="BR230" s="249"/>
      <c r="BS230" s="260"/>
      <c r="BT230" s="260"/>
      <c r="BU230" s="260"/>
      <c r="BV230" s="260"/>
      <c r="BW230" s="260"/>
      <c r="BX230" s="260"/>
      <c r="BY230" s="260"/>
      <c r="BZ230" s="260"/>
      <c r="CA230" s="260"/>
      <c r="CB230" s="260"/>
      <c r="CC230" s="260"/>
      <c r="CD230" s="260"/>
      <c r="CE230" s="260"/>
      <c r="CF230" s="260"/>
      <c r="CG230" s="260"/>
    </row>
    <row r="231" spans="1:85" ht="12">
      <c r="A231" s="37"/>
      <c r="B231" s="37"/>
      <c r="C231" s="186"/>
      <c r="D231" s="292" t="s">
        <v>234</v>
      </c>
      <c r="E231" s="292"/>
      <c r="F231" s="292"/>
      <c r="G231" s="51"/>
      <c r="H231" s="295" t="s">
        <v>235</v>
      </c>
      <c r="I231" s="292"/>
      <c r="J231" s="292"/>
      <c r="K231" s="292"/>
      <c r="L231" s="292"/>
      <c r="M231" s="292"/>
      <c r="N231" s="292"/>
      <c r="O231" s="296"/>
      <c r="Q231" s="37"/>
      <c r="R231" s="131"/>
      <c r="S231" s="255"/>
      <c r="T231" s="255"/>
      <c r="U231" s="255"/>
      <c r="V231" s="255"/>
      <c r="W231" s="255"/>
      <c r="X231" s="249"/>
      <c r="Y231" s="249"/>
      <c r="Z231" s="249"/>
      <c r="AA231" s="249"/>
      <c r="AB231" s="249"/>
      <c r="AC231" s="249"/>
      <c r="AD231" s="249"/>
      <c r="AE231" s="249"/>
      <c r="AF231" s="249"/>
      <c r="AG231" s="249"/>
      <c r="AH231" s="249"/>
      <c r="AI231" s="249"/>
      <c r="AJ231" s="249"/>
      <c r="AK231" s="249"/>
      <c r="AL231" s="249"/>
      <c r="AM231" s="249"/>
      <c r="AN231" s="249"/>
      <c r="AO231" s="249"/>
      <c r="AP231" s="249"/>
      <c r="AQ231" s="249"/>
      <c r="AR231" s="249"/>
      <c r="AS231" s="249"/>
      <c r="AT231" s="249"/>
      <c r="AU231" s="249"/>
      <c r="AV231" s="249"/>
      <c r="AW231" s="249"/>
      <c r="AX231" s="249"/>
      <c r="AY231" s="249"/>
      <c r="AZ231" s="249"/>
      <c r="BA231" s="249"/>
      <c r="BB231" s="249"/>
      <c r="BC231" s="249"/>
      <c r="BD231" s="249"/>
      <c r="BE231" s="249"/>
      <c r="BF231" s="249"/>
      <c r="BG231" s="249"/>
      <c r="BH231" s="249"/>
      <c r="BI231" s="249"/>
      <c r="BJ231" s="249"/>
      <c r="BK231" s="249"/>
      <c r="BL231" s="249"/>
      <c r="BM231" s="249"/>
      <c r="BN231" s="249"/>
      <c r="BO231" s="249"/>
      <c r="BP231" s="249"/>
      <c r="BQ231" s="249"/>
      <c r="BR231" s="249"/>
      <c r="BS231" s="260"/>
      <c r="BT231" s="260"/>
      <c r="BU231" s="260"/>
      <c r="BV231" s="260"/>
      <c r="BW231" s="260"/>
      <c r="BX231" s="260"/>
      <c r="BY231" s="260"/>
      <c r="BZ231" s="260"/>
      <c r="CA231" s="260"/>
      <c r="CB231" s="260"/>
      <c r="CC231" s="260"/>
      <c r="CD231" s="260"/>
      <c r="CE231" s="260"/>
      <c r="CF231" s="260"/>
      <c r="CG231" s="260"/>
    </row>
    <row r="232" spans="1:85" s="35" customFormat="1" ht="20.25" customHeight="1" thickBot="1">
      <c r="A232" s="155"/>
      <c r="B232" s="155"/>
      <c r="C232" s="187"/>
      <c r="D232" s="304">
        <f>V235</f>
        <v>13.8</v>
      </c>
      <c r="E232" s="305"/>
      <c r="F232" s="305"/>
      <c r="G232" s="188"/>
      <c r="H232" s="189"/>
      <c r="I232" s="304">
        <f>V236</f>
        <v>10.375</v>
      </c>
      <c r="J232" s="305"/>
      <c r="K232" s="305"/>
      <c r="L232" s="305"/>
      <c r="M232" s="305"/>
      <c r="N232" s="305"/>
      <c r="O232" s="190"/>
      <c r="Q232" s="155"/>
      <c r="R232" s="157"/>
      <c r="S232" s="263"/>
      <c r="T232" s="263"/>
      <c r="U232" s="263"/>
      <c r="V232" s="263"/>
      <c r="W232" s="263"/>
      <c r="X232" s="261"/>
      <c r="Y232" s="261"/>
      <c r="Z232" s="261"/>
      <c r="AA232" s="261"/>
      <c r="AB232" s="261"/>
      <c r="AC232" s="261"/>
      <c r="AD232" s="261"/>
      <c r="AE232" s="261"/>
      <c r="AF232" s="261"/>
      <c r="AG232" s="261"/>
      <c r="AH232" s="261"/>
      <c r="AI232" s="261"/>
      <c r="AJ232" s="261"/>
      <c r="AK232" s="261"/>
      <c r="AL232" s="261"/>
      <c r="AM232" s="261"/>
      <c r="AN232" s="261"/>
      <c r="AO232" s="261"/>
      <c r="AP232" s="261"/>
      <c r="AQ232" s="261"/>
      <c r="AR232" s="261"/>
      <c r="AS232" s="261"/>
      <c r="AT232" s="261"/>
      <c r="AU232" s="261"/>
      <c r="AV232" s="261"/>
      <c r="AW232" s="261"/>
      <c r="AX232" s="261"/>
      <c r="AY232" s="261"/>
      <c r="AZ232" s="261"/>
      <c r="BA232" s="261"/>
      <c r="BB232" s="261"/>
      <c r="BC232" s="261"/>
      <c r="BD232" s="261"/>
      <c r="BE232" s="261"/>
      <c r="BF232" s="261"/>
      <c r="BG232" s="261"/>
      <c r="BH232" s="261"/>
      <c r="BI232" s="261"/>
      <c r="BJ232" s="261"/>
      <c r="BK232" s="261"/>
      <c r="BL232" s="261"/>
      <c r="BM232" s="261"/>
      <c r="BN232" s="261"/>
      <c r="BO232" s="261"/>
      <c r="BP232" s="261"/>
      <c r="BQ232" s="261"/>
      <c r="BR232" s="261"/>
      <c r="BS232" s="264"/>
      <c r="BT232" s="264"/>
      <c r="BU232" s="264"/>
      <c r="BV232" s="264"/>
      <c r="BW232" s="264"/>
      <c r="BX232" s="264"/>
      <c r="BY232" s="264"/>
      <c r="BZ232" s="264"/>
      <c r="CA232" s="264"/>
      <c r="CB232" s="264"/>
      <c r="CC232" s="264"/>
      <c r="CD232" s="264"/>
      <c r="CE232" s="264"/>
      <c r="CF232" s="264"/>
      <c r="CG232" s="264"/>
    </row>
    <row r="233" spans="1:85" ht="12" customHeight="1">
      <c r="A233" s="37"/>
      <c r="B233" s="191"/>
      <c r="C233" s="192"/>
      <c r="D233" s="136" t="s">
        <v>153</v>
      </c>
      <c r="E233" s="138"/>
      <c r="F233" s="138">
        <f>IF(sim="","",sim)</f>
        <v>16</v>
      </c>
      <c r="G233" s="193"/>
      <c r="H233" s="194"/>
      <c r="I233" s="136" t="s">
        <v>154</v>
      </c>
      <c r="J233" s="138"/>
      <c r="K233" s="138"/>
      <c r="L233" s="138"/>
      <c r="M233" s="138"/>
      <c r="N233" s="138">
        <f>IF(bd="","",bd)</f>
        <v>10</v>
      </c>
      <c r="O233" s="195"/>
      <c r="P233" s="300" t="s">
        <v>236</v>
      </c>
      <c r="Q233" s="301"/>
      <c r="R233" s="131"/>
      <c r="S233" s="255"/>
      <c r="T233" s="255">
        <f>SUM(F233:F237)+SUM(N233:N237)</f>
        <v>112</v>
      </c>
      <c r="U233" s="255">
        <f>COUNT(F233:F237)+COUNT(N233:N237)</f>
        <v>9</v>
      </c>
      <c r="V233" s="266">
        <f>T233/U233</f>
        <v>12.444444444444445</v>
      </c>
      <c r="W233" s="255"/>
      <c r="X233" s="249"/>
      <c r="Y233" s="249"/>
      <c r="Z233" s="249"/>
      <c r="AA233" s="249"/>
      <c r="AB233" s="249"/>
      <c r="AC233" s="249"/>
      <c r="AD233" s="249"/>
      <c r="AE233" s="249"/>
      <c r="AF233" s="249"/>
      <c r="AG233" s="249"/>
      <c r="AH233" s="249"/>
      <c r="AI233" s="249"/>
      <c r="AJ233" s="249"/>
      <c r="AK233" s="249"/>
      <c r="AL233" s="249"/>
      <c r="AM233" s="249"/>
      <c r="AN233" s="249"/>
      <c r="AO233" s="249"/>
      <c r="AP233" s="249"/>
      <c r="AQ233" s="249"/>
      <c r="AR233" s="249"/>
      <c r="AS233" s="249"/>
      <c r="AT233" s="249"/>
      <c r="AU233" s="249"/>
      <c r="AV233" s="249"/>
      <c r="AW233" s="249"/>
      <c r="AX233" s="249"/>
      <c r="AY233" s="249"/>
      <c r="AZ233" s="249"/>
      <c r="BA233" s="249"/>
      <c r="BB233" s="249"/>
      <c r="BC233" s="249"/>
      <c r="BD233" s="249"/>
      <c r="BE233" s="249"/>
      <c r="BF233" s="249"/>
      <c r="BG233" s="249"/>
      <c r="BH233" s="249"/>
      <c r="BI233" s="249"/>
      <c r="BJ233" s="249"/>
      <c r="BK233" s="249"/>
      <c r="BL233" s="249"/>
      <c r="BM233" s="249"/>
      <c r="BN233" s="249"/>
      <c r="BO233" s="249"/>
      <c r="BP233" s="249"/>
      <c r="BQ233" s="249"/>
      <c r="BR233" s="249"/>
      <c r="BS233" s="260"/>
      <c r="BT233" s="260"/>
      <c r="BU233" s="260"/>
      <c r="BV233" s="260"/>
      <c r="BW233" s="260"/>
      <c r="BX233" s="260"/>
      <c r="BY233" s="260"/>
      <c r="BZ233" s="260"/>
      <c r="CA233" s="260"/>
      <c r="CB233" s="260"/>
      <c r="CC233" s="260"/>
      <c r="CD233" s="260"/>
      <c r="CE233" s="260"/>
      <c r="CF233" s="260"/>
      <c r="CG233" s="260"/>
    </row>
    <row r="234" spans="1:85" ht="12">
      <c r="B234" s="196"/>
      <c r="C234" s="197"/>
      <c r="D234" s="7" t="s">
        <v>155</v>
      </c>
      <c r="E234" s="5"/>
      <c r="F234" s="5">
        <f>IF(VOC="","",VOC)</f>
        <v>11</v>
      </c>
      <c r="G234" s="198"/>
      <c r="H234" s="199"/>
      <c r="I234" s="7" t="s">
        <v>159</v>
      </c>
      <c r="J234" s="5"/>
      <c r="K234" s="5"/>
      <c r="L234" s="5"/>
      <c r="M234" s="5"/>
      <c r="N234" s="5">
        <f>IF(MR="","",MR)</f>
        <v>16</v>
      </c>
      <c r="O234" s="200"/>
      <c r="P234" s="302"/>
      <c r="Q234" s="303"/>
      <c r="R234" s="131"/>
      <c r="S234" s="255"/>
      <c r="T234" s="255">
        <f>SUM(F241:F246)+SUM(N241:N246)</f>
        <v>109</v>
      </c>
      <c r="U234" s="255">
        <f>COUNT(F241:F246)+COUNT(N241:N246)</f>
        <v>9</v>
      </c>
      <c r="V234" s="266">
        <f>T234/U234</f>
        <v>12.111111111111111</v>
      </c>
      <c r="W234" s="249"/>
      <c r="X234" s="249"/>
      <c r="Y234" s="249"/>
      <c r="Z234" s="249"/>
      <c r="AA234" s="249"/>
      <c r="AB234" s="249"/>
      <c r="AC234" s="249"/>
      <c r="AD234" s="249"/>
      <c r="AE234" s="249"/>
      <c r="AF234" s="249"/>
      <c r="AG234" s="249"/>
      <c r="AH234" s="249"/>
      <c r="AI234" s="249"/>
      <c r="AJ234" s="249"/>
      <c r="AK234" s="249"/>
      <c r="AL234" s="249"/>
      <c r="AM234" s="249"/>
      <c r="AN234" s="249"/>
      <c r="AO234" s="249"/>
      <c r="AP234" s="249"/>
      <c r="AQ234" s="249"/>
      <c r="AR234" s="249"/>
      <c r="AS234" s="249"/>
      <c r="AT234" s="249"/>
      <c r="AU234" s="249"/>
      <c r="AV234" s="249"/>
      <c r="AW234" s="249"/>
      <c r="AX234" s="249"/>
      <c r="AY234" s="249"/>
      <c r="AZ234" s="249"/>
      <c r="BA234" s="249"/>
      <c r="BB234" s="249"/>
      <c r="BC234" s="249"/>
      <c r="BD234" s="249"/>
      <c r="BE234" s="249"/>
      <c r="BF234" s="249"/>
      <c r="BG234" s="249"/>
      <c r="BH234" s="249"/>
      <c r="BI234" s="249"/>
      <c r="BJ234" s="249"/>
      <c r="BK234" s="249"/>
      <c r="BL234" s="249"/>
      <c r="BM234" s="249"/>
      <c r="BN234" s="249"/>
      <c r="BO234" s="249"/>
      <c r="BP234" s="249"/>
      <c r="BQ234" s="249"/>
      <c r="BR234" s="249"/>
      <c r="BS234" s="260"/>
      <c r="BT234" s="260"/>
      <c r="BU234" s="260"/>
      <c r="BV234" s="260"/>
      <c r="BW234" s="260"/>
      <c r="BX234" s="260"/>
      <c r="BY234" s="260"/>
      <c r="BZ234" s="260"/>
      <c r="CA234" s="260"/>
      <c r="CB234" s="260"/>
      <c r="CC234" s="260"/>
      <c r="CD234" s="260"/>
      <c r="CE234" s="260"/>
      <c r="CF234" s="260"/>
      <c r="CG234" s="260"/>
    </row>
    <row r="235" spans="1:85" ht="12">
      <c r="B235" s="196"/>
      <c r="C235" s="197"/>
      <c r="D235" s="113" t="s">
        <v>156</v>
      </c>
      <c r="E235" s="5"/>
      <c r="F235" s="5">
        <f>IF(IN="","",IN)</f>
        <v>12</v>
      </c>
      <c r="G235" s="198"/>
      <c r="H235" s="199"/>
      <c r="I235" s="2" t="s">
        <v>163</v>
      </c>
      <c r="J235" s="5"/>
      <c r="K235" s="5"/>
      <c r="L235" s="5"/>
      <c r="M235" s="5"/>
      <c r="N235" s="5">
        <f>IF(VP="","",VP)</f>
        <v>9</v>
      </c>
      <c r="O235" s="200"/>
      <c r="P235" s="302"/>
      <c r="Q235" s="303"/>
      <c r="R235" s="131"/>
      <c r="S235" s="255"/>
      <c r="T235" s="255">
        <f>SUM(F233:F237)+SUM(F241:F246)</f>
        <v>138</v>
      </c>
      <c r="U235" s="255">
        <f>COUNT(F233:F237)+COUNT(F241:F246)</f>
        <v>10</v>
      </c>
      <c r="V235" s="266">
        <f>T235/U235</f>
        <v>13.8</v>
      </c>
      <c r="W235" s="249"/>
      <c r="X235" s="249"/>
      <c r="Y235" s="249"/>
      <c r="Z235" s="249"/>
      <c r="AA235" s="249"/>
      <c r="AB235" s="249"/>
      <c r="AC235" s="249"/>
      <c r="AD235" s="249"/>
      <c r="AE235" s="249"/>
      <c r="AF235" s="249"/>
      <c r="AG235" s="249"/>
      <c r="AH235" s="249"/>
      <c r="AI235" s="249"/>
      <c r="AJ235" s="249"/>
      <c r="AK235" s="249"/>
      <c r="AL235" s="249"/>
      <c r="AM235" s="249"/>
      <c r="AN235" s="249"/>
      <c r="AO235" s="249"/>
      <c r="AP235" s="249"/>
      <c r="AQ235" s="249"/>
      <c r="AR235" s="249"/>
      <c r="AS235" s="249"/>
      <c r="AT235" s="249"/>
      <c r="AU235" s="249"/>
      <c r="AV235" s="249"/>
      <c r="AW235" s="249"/>
      <c r="AX235" s="249"/>
      <c r="AY235" s="249"/>
      <c r="AZ235" s="249"/>
      <c r="BA235" s="249"/>
      <c r="BB235" s="249"/>
      <c r="BC235" s="249"/>
      <c r="BD235" s="249"/>
      <c r="BE235" s="249"/>
      <c r="BF235" s="249"/>
      <c r="BG235" s="249"/>
      <c r="BH235" s="249"/>
      <c r="BI235" s="249"/>
      <c r="BJ235" s="249"/>
      <c r="BK235" s="249"/>
      <c r="BL235" s="249"/>
      <c r="BM235" s="249"/>
      <c r="BN235" s="249"/>
      <c r="BO235" s="249"/>
      <c r="BP235" s="249"/>
      <c r="BQ235" s="249"/>
      <c r="BR235" s="249"/>
      <c r="BS235" s="260"/>
      <c r="BT235" s="260"/>
      <c r="BU235" s="260"/>
      <c r="BV235" s="260"/>
      <c r="BW235" s="260"/>
      <c r="BX235" s="260"/>
      <c r="BY235" s="260"/>
      <c r="BZ235" s="260"/>
      <c r="CA235" s="260"/>
      <c r="CB235" s="260"/>
      <c r="CC235" s="260"/>
      <c r="CD235" s="260"/>
      <c r="CE235" s="260"/>
      <c r="CF235" s="260"/>
      <c r="CG235" s="260"/>
    </row>
    <row r="236" spans="1:85" ht="12">
      <c r="B236" s="196"/>
      <c r="C236" s="197"/>
      <c r="D236" s="113" t="s">
        <v>158</v>
      </c>
      <c r="E236" s="5"/>
      <c r="F236" s="5">
        <f>IF(COMP="","",COMP)</f>
        <v>12</v>
      </c>
      <c r="G236" s="198"/>
      <c r="H236" s="199"/>
      <c r="I236" s="142" t="s">
        <v>164</v>
      </c>
      <c r="J236" s="5"/>
      <c r="K236" s="5"/>
      <c r="L236" s="5"/>
      <c r="M236" s="5"/>
      <c r="N236" s="5">
        <f>IF(FW="","",FW)</f>
        <v>16</v>
      </c>
      <c r="O236" s="200"/>
      <c r="P236" s="306">
        <f>V233</f>
        <v>12.444444444444445</v>
      </c>
      <c r="Q236" s="307"/>
      <c r="R236" s="131"/>
      <c r="S236" s="255"/>
      <c r="T236" s="255">
        <f>SUM(N233:N237)+SUM(N241:N246)</f>
        <v>83</v>
      </c>
      <c r="U236" s="255">
        <f>COUNT(N233:N237)+COUNT(N241:N246)</f>
        <v>8</v>
      </c>
      <c r="V236" s="266">
        <f>T236/U236</f>
        <v>10.375</v>
      </c>
      <c r="W236" s="249"/>
      <c r="X236" s="249"/>
      <c r="Y236" s="249"/>
      <c r="Z236" s="249"/>
      <c r="AA236" s="249"/>
      <c r="AB236" s="249"/>
      <c r="AC236" s="249"/>
      <c r="AD236" s="249"/>
      <c r="AE236" s="249"/>
      <c r="AF236" s="249"/>
      <c r="AG236" s="249"/>
      <c r="AH236" s="249"/>
      <c r="AI236" s="249"/>
      <c r="AJ236" s="249"/>
      <c r="AK236" s="249"/>
      <c r="AL236" s="249"/>
      <c r="AM236" s="249"/>
      <c r="AN236" s="249"/>
      <c r="AO236" s="249"/>
      <c r="AP236" s="249"/>
      <c r="AQ236" s="249"/>
      <c r="AR236" s="249"/>
      <c r="AS236" s="249"/>
      <c r="AT236" s="249"/>
      <c r="AU236" s="249"/>
      <c r="AV236" s="249"/>
      <c r="AW236" s="249"/>
      <c r="AX236" s="249"/>
      <c r="AY236" s="249"/>
      <c r="AZ236" s="249"/>
      <c r="BA236" s="249"/>
      <c r="BB236" s="249"/>
      <c r="BC236" s="249"/>
      <c r="BD236" s="249"/>
      <c r="BE236" s="249"/>
      <c r="BF236" s="249"/>
      <c r="BG236" s="249"/>
      <c r="BH236" s="249"/>
      <c r="BI236" s="249"/>
      <c r="BJ236" s="249"/>
      <c r="BK236" s="249"/>
      <c r="BL236" s="249"/>
      <c r="BM236" s="249"/>
      <c r="BN236" s="249"/>
      <c r="BO236" s="249"/>
      <c r="BP236" s="249"/>
      <c r="BQ236" s="249"/>
      <c r="BR236" s="249"/>
      <c r="BS236" s="260"/>
      <c r="BT236" s="260"/>
      <c r="BU236" s="260"/>
      <c r="BV236" s="260"/>
      <c r="BW236" s="260"/>
      <c r="BX236" s="260"/>
      <c r="BY236" s="260"/>
      <c r="BZ236" s="260"/>
      <c r="CA236" s="260"/>
      <c r="CB236" s="260"/>
      <c r="CC236" s="260"/>
      <c r="CD236" s="260"/>
      <c r="CE236" s="260"/>
      <c r="CF236" s="260"/>
      <c r="CG236" s="260"/>
    </row>
    <row r="237" spans="1:85" ht="12.75" thickBot="1">
      <c r="B237" s="201"/>
      <c r="C237" s="202"/>
      <c r="D237" s="137"/>
      <c r="E237" s="203"/>
      <c r="F237" s="203"/>
      <c r="G237" s="204"/>
      <c r="H237" s="205"/>
      <c r="I237" s="206" t="s">
        <v>165</v>
      </c>
      <c r="J237" s="203"/>
      <c r="K237" s="203"/>
      <c r="L237" s="203"/>
      <c r="M237" s="203"/>
      <c r="N237" s="203">
        <f>IF(PCm="","",PCm)</f>
        <v>10</v>
      </c>
      <c r="O237" s="207"/>
      <c r="P237" s="308"/>
      <c r="Q237" s="309"/>
      <c r="R237" s="131"/>
      <c r="S237" s="255"/>
      <c r="T237" s="255"/>
      <c r="U237" s="255"/>
      <c r="V237" s="249"/>
      <c r="W237" s="249"/>
      <c r="X237" s="249"/>
      <c r="Y237" s="249"/>
      <c r="Z237" s="249"/>
      <c r="AA237" s="249"/>
      <c r="AB237" s="249"/>
      <c r="AC237" s="249"/>
      <c r="AD237" s="249"/>
      <c r="AE237" s="249"/>
      <c r="AF237" s="249"/>
      <c r="AG237" s="249"/>
      <c r="AH237" s="249"/>
      <c r="AI237" s="249"/>
      <c r="AJ237" s="249"/>
      <c r="AK237" s="249"/>
      <c r="AL237" s="249"/>
      <c r="AM237" s="249"/>
      <c r="AN237" s="249"/>
      <c r="AO237" s="249"/>
      <c r="AP237" s="249"/>
      <c r="AQ237" s="249"/>
      <c r="AR237" s="249"/>
      <c r="AS237" s="249"/>
      <c r="AT237" s="249"/>
      <c r="AU237" s="249"/>
      <c r="AV237" s="249"/>
      <c r="AW237" s="249"/>
      <c r="AX237" s="249"/>
      <c r="AY237" s="249"/>
      <c r="AZ237" s="249"/>
      <c r="BA237" s="249"/>
      <c r="BB237" s="249"/>
      <c r="BC237" s="249"/>
      <c r="BD237" s="249"/>
      <c r="BE237" s="249"/>
      <c r="BF237" s="249"/>
      <c r="BG237" s="249"/>
      <c r="BH237" s="249"/>
      <c r="BI237" s="249"/>
      <c r="BJ237" s="249"/>
      <c r="BK237" s="249"/>
      <c r="BL237" s="249"/>
      <c r="BM237" s="249"/>
      <c r="BN237" s="249"/>
      <c r="BO237" s="249"/>
      <c r="BP237" s="249"/>
      <c r="BQ237" s="249"/>
      <c r="BR237" s="249"/>
      <c r="BS237" s="260"/>
      <c r="BT237" s="260"/>
      <c r="BU237" s="260"/>
      <c r="BV237" s="260"/>
      <c r="BW237" s="260"/>
      <c r="BX237" s="260"/>
      <c r="BY237" s="260"/>
      <c r="BZ237" s="260"/>
      <c r="CA237" s="260"/>
      <c r="CB237" s="260"/>
      <c r="CC237" s="260"/>
      <c r="CD237" s="260"/>
      <c r="CE237" s="260"/>
      <c r="CF237" s="260"/>
      <c r="CG237" s="260"/>
    </row>
    <row r="238" spans="1:85" ht="12">
      <c r="B238" s="37"/>
      <c r="C238" s="197"/>
      <c r="D238" s="37"/>
      <c r="E238" s="37"/>
      <c r="F238" s="37"/>
      <c r="G238" s="200"/>
      <c r="H238" s="197"/>
      <c r="I238" s="37"/>
      <c r="J238" s="5"/>
      <c r="K238" s="5"/>
      <c r="L238" s="5"/>
      <c r="M238" s="5"/>
      <c r="N238" s="5"/>
      <c r="O238" s="200"/>
      <c r="Q238" s="37"/>
      <c r="R238" s="131"/>
      <c r="S238" s="255"/>
      <c r="T238" s="255"/>
      <c r="U238" s="255"/>
      <c r="V238" s="249"/>
      <c r="W238" s="249"/>
      <c r="X238" s="249"/>
      <c r="Y238" s="249"/>
      <c r="Z238" s="249"/>
      <c r="AA238" s="249"/>
      <c r="AB238" s="249"/>
      <c r="AC238" s="249"/>
      <c r="AD238" s="249"/>
      <c r="AE238" s="249"/>
      <c r="AF238" s="249"/>
      <c r="AG238" s="249"/>
      <c r="AH238" s="249"/>
      <c r="AI238" s="249"/>
      <c r="AJ238" s="249"/>
      <c r="AK238" s="249"/>
      <c r="AL238" s="249"/>
      <c r="AM238" s="249"/>
      <c r="AN238" s="249"/>
      <c r="AO238" s="249"/>
      <c r="AP238" s="249"/>
      <c r="AQ238" s="249"/>
      <c r="AR238" s="249"/>
      <c r="AS238" s="249"/>
      <c r="AT238" s="249"/>
      <c r="AU238" s="249"/>
      <c r="AV238" s="249"/>
      <c r="AW238" s="249"/>
      <c r="AX238" s="249"/>
      <c r="AY238" s="249"/>
      <c r="AZ238" s="249"/>
      <c r="BA238" s="249"/>
      <c r="BB238" s="249"/>
      <c r="BC238" s="249"/>
      <c r="BD238" s="249"/>
      <c r="BE238" s="249"/>
      <c r="BF238" s="249"/>
      <c r="BG238" s="249"/>
      <c r="BH238" s="249"/>
      <c r="BI238" s="249"/>
      <c r="BJ238" s="249"/>
      <c r="BK238" s="249"/>
      <c r="BL238" s="249"/>
      <c r="BM238" s="249"/>
      <c r="BN238" s="249"/>
      <c r="BO238" s="249"/>
      <c r="BP238" s="249"/>
      <c r="BQ238" s="249"/>
      <c r="BR238" s="249"/>
      <c r="BS238" s="260"/>
      <c r="BT238" s="260"/>
      <c r="BU238" s="260"/>
      <c r="BV238" s="260"/>
      <c r="BW238" s="260"/>
      <c r="BX238" s="260"/>
      <c r="BY238" s="260"/>
      <c r="BZ238" s="260"/>
      <c r="CA238" s="260"/>
      <c r="CB238" s="260"/>
      <c r="CC238" s="260"/>
      <c r="CD238" s="260"/>
      <c r="CE238" s="260"/>
      <c r="CF238" s="260"/>
      <c r="CG238" s="260"/>
    </row>
    <row r="239" spans="1:85" ht="12" hidden="1">
      <c r="B239" s="37"/>
      <c r="C239" s="197"/>
      <c r="D239" s="310"/>
      <c r="E239" s="310"/>
      <c r="F239" s="310"/>
      <c r="G239" s="198"/>
      <c r="H239" s="311"/>
      <c r="I239" s="310"/>
      <c r="J239" s="310"/>
      <c r="K239" s="310"/>
      <c r="L239" s="310"/>
      <c r="M239" s="310"/>
      <c r="N239" s="310"/>
      <c r="O239" s="312"/>
      <c r="Q239" s="37"/>
      <c r="R239" s="131"/>
      <c r="S239" s="255"/>
      <c r="T239" s="255"/>
      <c r="U239" s="255"/>
      <c r="V239" s="249"/>
      <c r="W239" s="249"/>
      <c r="X239" s="249"/>
      <c r="Y239" s="249"/>
      <c r="Z239" s="249"/>
      <c r="AA239" s="249"/>
      <c r="AB239" s="249"/>
      <c r="AC239" s="249"/>
      <c r="AD239" s="249"/>
      <c r="AE239" s="249"/>
      <c r="AF239" s="249"/>
      <c r="AG239" s="249"/>
      <c r="AH239" s="249"/>
      <c r="AI239" s="249"/>
      <c r="AJ239" s="249"/>
      <c r="AK239" s="249"/>
      <c r="AL239" s="249"/>
      <c r="AM239" s="249"/>
      <c r="AN239" s="249"/>
      <c r="AO239" s="249"/>
      <c r="AP239" s="249"/>
      <c r="AQ239" s="249"/>
      <c r="AR239" s="249"/>
      <c r="AS239" s="249"/>
      <c r="AT239" s="249"/>
      <c r="AU239" s="249"/>
      <c r="AV239" s="249"/>
      <c r="AW239" s="249"/>
      <c r="AX239" s="249"/>
      <c r="AY239" s="249"/>
      <c r="AZ239" s="249"/>
      <c r="BA239" s="249"/>
      <c r="BB239" s="249"/>
      <c r="BC239" s="249"/>
      <c r="BD239" s="249"/>
      <c r="BE239" s="249"/>
      <c r="BF239" s="249"/>
      <c r="BG239" s="249"/>
      <c r="BH239" s="249"/>
      <c r="BI239" s="249"/>
      <c r="BJ239" s="249"/>
      <c r="BK239" s="249"/>
      <c r="BL239" s="249"/>
      <c r="BM239" s="249"/>
      <c r="BN239" s="249"/>
      <c r="BO239" s="249"/>
      <c r="BP239" s="249"/>
      <c r="BQ239" s="249"/>
      <c r="BR239" s="249"/>
      <c r="BS239" s="260"/>
      <c r="BT239" s="260"/>
      <c r="BU239" s="260"/>
      <c r="BV239" s="260"/>
      <c r="BW239" s="260"/>
      <c r="BX239" s="260"/>
      <c r="BY239" s="260"/>
      <c r="BZ239" s="260"/>
      <c r="CA239" s="260"/>
      <c r="CB239" s="260"/>
      <c r="CC239" s="260"/>
      <c r="CD239" s="260"/>
      <c r="CE239" s="260"/>
      <c r="CF239" s="260"/>
      <c r="CG239" s="260"/>
    </row>
    <row r="240" spans="1:85" ht="12.75" thickBot="1">
      <c r="B240" s="37"/>
      <c r="C240" s="197"/>
      <c r="G240" s="208"/>
      <c r="H240" s="209"/>
      <c r="O240" s="200"/>
      <c r="Q240" s="37"/>
      <c r="R240" s="131"/>
      <c r="S240" s="255"/>
      <c r="T240" s="255"/>
      <c r="U240" s="255"/>
      <c r="V240" s="249"/>
      <c r="W240" s="249"/>
      <c r="X240" s="249"/>
      <c r="Y240" s="249"/>
      <c r="Z240" s="249"/>
      <c r="AA240" s="249"/>
      <c r="AB240" s="249"/>
      <c r="AC240" s="249"/>
      <c r="AD240" s="249"/>
      <c r="AE240" s="249"/>
      <c r="AF240" s="249"/>
      <c r="AG240" s="249"/>
      <c r="AH240" s="249"/>
      <c r="AI240" s="249"/>
      <c r="AJ240" s="249"/>
      <c r="AK240" s="249"/>
      <c r="AL240" s="249"/>
      <c r="AM240" s="249"/>
      <c r="AN240" s="249"/>
      <c r="AO240" s="249"/>
      <c r="AP240" s="249"/>
      <c r="AQ240" s="249"/>
      <c r="AR240" s="249"/>
      <c r="AS240" s="249"/>
      <c r="AT240" s="249"/>
      <c r="AU240" s="249"/>
      <c r="AV240" s="249"/>
      <c r="AW240" s="249"/>
      <c r="AX240" s="249"/>
      <c r="AY240" s="249"/>
      <c r="AZ240" s="249"/>
      <c r="BA240" s="249"/>
      <c r="BB240" s="249"/>
      <c r="BC240" s="249"/>
      <c r="BD240" s="249"/>
      <c r="BE240" s="249"/>
      <c r="BF240" s="249"/>
      <c r="BG240" s="249"/>
      <c r="BH240" s="249"/>
      <c r="BI240" s="249"/>
      <c r="BJ240" s="249"/>
      <c r="BK240" s="249"/>
      <c r="BL240" s="249"/>
      <c r="BM240" s="249"/>
      <c r="BN240" s="249"/>
      <c r="BO240" s="249"/>
      <c r="BP240" s="249"/>
      <c r="BQ240" s="249"/>
      <c r="BR240" s="249"/>
      <c r="BS240" s="260"/>
      <c r="BT240" s="260"/>
      <c r="BU240" s="260"/>
      <c r="BV240" s="260"/>
      <c r="BW240" s="260"/>
      <c r="BX240" s="260"/>
      <c r="BY240" s="260"/>
      <c r="BZ240" s="260"/>
      <c r="CA240" s="260"/>
      <c r="CB240" s="260"/>
      <c r="CC240" s="260"/>
      <c r="CD240" s="260"/>
      <c r="CE240" s="260"/>
      <c r="CF240" s="260"/>
      <c r="CG240" s="260"/>
    </row>
    <row r="241" spans="2:22" ht="12" customHeight="1">
      <c r="B241" s="191"/>
      <c r="C241" s="192"/>
      <c r="D241" s="138" t="s">
        <v>157</v>
      </c>
      <c r="E241" s="138"/>
      <c r="F241" s="138">
        <f>IF(DS="","",DS)</f>
        <v>12</v>
      </c>
      <c r="G241" s="193"/>
      <c r="H241" s="194"/>
      <c r="I241" s="136" t="s">
        <v>170</v>
      </c>
      <c r="J241" s="138"/>
      <c r="K241" s="138"/>
      <c r="L241" s="138"/>
      <c r="M241" s="138"/>
      <c r="N241" s="138">
        <f>IF(SS="","",SS)</f>
        <v>10</v>
      </c>
      <c r="O241" s="195"/>
      <c r="P241" s="300" t="s">
        <v>237</v>
      </c>
      <c r="Q241" s="301"/>
      <c r="R241" s="131"/>
      <c r="S241" s="255"/>
      <c r="T241" s="255"/>
      <c r="U241" s="255"/>
      <c r="V241" s="249"/>
    </row>
    <row r="242" spans="2:22" ht="12">
      <c r="B242" s="196"/>
      <c r="C242" s="197"/>
      <c r="D242" s="5" t="s">
        <v>160</v>
      </c>
      <c r="E242" s="5"/>
      <c r="F242" s="5">
        <f>IF(AR="","",AR)</f>
        <v>16</v>
      </c>
      <c r="G242" s="198"/>
      <c r="H242" s="199"/>
      <c r="I242" s="7" t="s">
        <v>166</v>
      </c>
      <c r="J242" s="5"/>
      <c r="K242" s="5"/>
      <c r="L242" s="5"/>
      <c r="M242" s="5"/>
      <c r="N242" s="5">
        <f>IF(CD="","",CD)</f>
        <v>5</v>
      </c>
      <c r="O242" s="200"/>
      <c r="P242" s="302"/>
      <c r="Q242" s="303"/>
      <c r="R242" s="131"/>
      <c r="S242" s="255"/>
      <c r="T242" s="255"/>
      <c r="U242" s="255"/>
      <c r="V242" s="249"/>
    </row>
    <row r="243" spans="2:22" ht="12">
      <c r="B243" s="196"/>
      <c r="C243" s="197"/>
      <c r="D243" s="114" t="s">
        <v>167</v>
      </c>
      <c r="E243" s="5"/>
      <c r="F243" s="5">
        <f>IF(lns="","",lns)</f>
        <v>11</v>
      </c>
      <c r="G243" s="198"/>
      <c r="H243" s="199"/>
      <c r="I243" s="113" t="s">
        <v>168</v>
      </c>
      <c r="J243" s="5"/>
      <c r="K243" s="5"/>
      <c r="L243" s="5"/>
      <c r="M243" s="5"/>
      <c r="N243" s="5">
        <f>IF(CA="","",CA)</f>
        <v>7</v>
      </c>
      <c r="O243" s="200"/>
      <c r="P243" s="302"/>
      <c r="Q243" s="303"/>
      <c r="R243" s="131"/>
      <c r="S243" s="255"/>
      <c r="T243" s="255"/>
      <c r="U243" s="255"/>
      <c r="V243" s="249"/>
    </row>
    <row r="244" spans="2:22" ht="12">
      <c r="B244" s="196"/>
      <c r="C244" s="197"/>
      <c r="D244" s="114" t="s">
        <v>238</v>
      </c>
      <c r="E244" s="5"/>
      <c r="F244" s="5">
        <f>IF(dsf="","",dsf)</f>
        <v>18</v>
      </c>
      <c r="G244" s="198"/>
      <c r="H244" s="199"/>
      <c r="I244" s="113"/>
      <c r="J244" s="5"/>
      <c r="K244" s="5"/>
      <c r="L244" s="5"/>
      <c r="M244" s="5"/>
      <c r="N244" s="5"/>
      <c r="O244" s="200"/>
      <c r="P244" s="172"/>
      <c r="Q244" s="210"/>
      <c r="R244" s="131"/>
      <c r="S244" s="255"/>
      <c r="T244" s="255"/>
      <c r="U244" s="255"/>
      <c r="V244" s="249"/>
    </row>
    <row r="245" spans="2:22" ht="12">
      <c r="B245" s="196"/>
      <c r="C245" s="197"/>
      <c r="D245" s="142" t="s">
        <v>239</v>
      </c>
      <c r="F245" s="5">
        <f>IF(dsb="","",dsb)</f>
        <v>17</v>
      </c>
      <c r="G245" s="198"/>
      <c r="H245" s="199"/>
      <c r="O245" s="200"/>
      <c r="P245" s="306">
        <f>V234</f>
        <v>12.111111111111111</v>
      </c>
      <c r="Q245" s="307"/>
      <c r="R245" s="131"/>
      <c r="S245" s="255"/>
      <c r="T245" s="255"/>
      <c r="U245" s="255"/>
      <c r="V245" s="249"/>
    </row>
    <row r="246" spans="2:22" ht="12.75" thickBot="1">
      <c r="B246" s="201"/>
      <c r="C246" s="202"/>
      <c r="D246" s="206" t="s">
        <v>240</v>
      </c>
      <c r="E246" s="203"/>
      <c r="F246" s="203">
        <f>IF(dssq="","",dssq)</f>
        <v>13</v>
      </c>
      <c r="G246" s="204"/>
      <c r="H246" s="205"/>
      <c r="I246" s="206"/>
      <c r="J246" s="203"/>
      <c r="K246" s="203"/>
      <c r="L246" s="203"/>
      <c r="M246" s="203"/>
      <c r="N246" s="203"/>
      <c r="O246" s="207"/>
      <c r="P246" s="308"/>
      <c r="Q246" s="309"/>
      <c r="R246" s="131"/>
      <c r="S246" s="255"/>
      <c r="T246" s="255"/>
      <c r="U246" s="255"/>
      <c r="V246" s="249"/>
    </row>
    <row r="247" spans="2:22" ht="12.75" thickBot="1">
      <c r="B247" s="37"/>
      <c r="C247" s="211"/>
      <c r="D247" s="53"/>
      <c r="E247" s="212"/>
      <c r="F247" s="212"/>
      <c r="G247" s="213"/>
      <c r="H247" s="211"/>
      <c r="I247" s="212"/>
      <c r="J247" s="212"/>
      <c r="K247" s="212"/>
      <c r="L247" s="212"/>
      <c r="M247" s="212"/>
      <c r="N247" s="212"/>
      <c r="O247" s="213"/>
      <c r="Q247" s="37"/>
      <c r="R247" s="131"/>
      <c r="S247" s="255"/>
      <c r="T247" s="255"/>
      <c r="U247" s="255"/>
      <c r="V247" s="249"/>
    </row>
    <row r="248" spans="2:22" ht="12">
      <c r="B248" s="37"/>
      <c r="C248" s="37"/>
      <c r="D248" s="37"/>
      <c r="E248" s="37"/>
      <c r="F248" s="37"/>
      <c r="G248" s="37"/>
      <c r="H248" s="37"/>
      <c r="I248" s="37"/>
      <c r="J248" s="37"/>
      <c r="K248" s="37"/>
      <c r="L248" s="37"/>
      <c r="M248" s="37"/>
      <c r="N248" s="37"/>
      <c r="O248" s="37"/>
      <c r="P248" s="37"/>
      <c r="Q248" s="37"/>
      <c r="R248" s="131"/>
      <c r="S248" s="255"/>
      <c r="T248" s="255"/>
      <c r="U248" s="255"/>
      <c r="V248" s="249"/>
    </row>
    <row r="249" spans="2:22" ht="12">
      <c r="B249" s="37"/>
      <c r="C249" s="37"/>
      <c r="D249" s="37"/>
      <c r="E249" s="37"/>
      <c r="F249" s="37"/>
      <c r="G249" s="37"/>
      <c r="H249" s="37"/>
      <c r="I249" s="37"/>
      <c r="J249" s="37"/>
      <c r="K249" s="37"/>
      <c r="L249" s="37"/>
      <c r="M249" s="37"/>
      <c r="N249" s="37"/>
      <c r="O249" s="37"/>
      <c r="P249" s="37"/>
      <c r="Q249" s="37"/>
      <c r="R249" s="131"/>
      <c r="S249" s="255"/>
      <c r="T249" s="255"/>
      <c r="U249" s="255"/>
      <c r="V249" s="249"/>
    </row>
    <row r="250" spans="2:22" ht="12">
      <c r="B250" s="37"/>
      <c r="C250" s="37"/>
      <c r="D250" s="37" t="s">
        <v>241</v>
      </c>
      <c r="E250" s="37"/>
      <c r="F250" s="37"/>
      <c r="G250" s="37"/>
      <c r="H250" s="37"/>
      <c r="I250" s="37"/>
      <c r="J250" s="37"/>
      <c r="K250" s="37"/>
      <c r="L250" s="37"/>
      <c r="M250" s="37"/>
      <c r="N250" s="37"/>
      <c r="O250" s="37"/>
      <c r="P250" s="37"/>
      <c r="Q250" s="37"/>
      <c r="R250" s="131"/>
      <c r="S250" s="255"/>
      <c r="T250" s="255"/>
      <c r="U250" s="255"/>
      <c r="V250" s="249"/>
    </row>
    <row r="251" spans="2:22" ht="15.75">
      <c r="B251" s="37"/>
      <c r="C251" s="37"/>
      <c r="D251" s="214" t="str">
        <f>"VCI = "&amp;vci</f>
        <v>VCI = 116</v>
      </c>
      <c r="E251" s="215"/>
      <c r="F251" s="37"/>
      <c r="G251" s="37"/>
      <c r="H251" s="37"/>
      <c r="I251" s="37"/>
      <c r="J251" s="37"/>
      <c r="K251" s="37"/>
      <c r="L251" s="37"/>
      <c r="M251" s="37"/>
      <c r="N251" s="37"/>
      <c r="P251" s="37"/>
      <c r="Q251" s="37"/>
      <c r="R251" s="131"/>
      <c r="S251" s="255"/>
      <c r="T251" s="255"/>
      <c r="U251" s="255"/>
      <c r="V251" s="249"/>
    </row>
    <row r="252" spans="2:22" ht="12">
      <c r="D252" s="267" t="s">
        <v>242</v>
      </c>
      <c r="E252" s="216">
        <v>0.96</v>
      </c>
      <c r="F252" s="216"/>
      <c r="G252" s="37">
        <f>IF(COMP="","",IF(VOC="","",IF(IN="","",1.86*(COMP+VOC+IN)+44.3)))</f>
        <v>109.4</v>
      </c>
      <c r="H252" s="37"/>
      <c r="I252" s="37"/>
      <c r="J252" s="37"/>
      <c r="K252" s="37"/>
      <c r="L252" s="37"/>
      <c r="M252" s="37"/>
      <c r="N252" s="37"/>
      <c r="O252" s="37"/>
      <c r="P252" s="37"/>
      <c r="Q252" s="37"/>
      <c r="R252" s="131"/>
      <c r="S252" s="255"/>
      <c r="T252" s="255"/>
      <c r="U252" s="255"/>
      <c r="V252" s="249"/>
    </row>
    <row r="253" spans="2:22" ht="12">
      <c r="D253" s="267" t="s">
        <v>243</v>
      </c>
      <c r="E253" s="216">
        <v>0.95</v>
      </c>
      <c r="F253" s="216"/>
      <c r="G253" s="37">
        <f>IF(COMP="","",IF(sim="","",IF(IN="","",1.89*(COMP+sim+IN)+43.4)))</f>
        <v>119</v>
      </c>
      <c r="H253" s="37"/>
      <c r="I253" s="37"/>
      <c r="J253" s="37"/>
      <c r="K253" s="37"/>
      <c r="L253" s="37"/>
      <c r="M253" s="37"/>
      <c r="N253" s="37"/>
      <c r="O253" s="37"/>
      <c r="P253" s="37"/>
      <c r="Q253" s="37"/>
      <c r="R253" s="128"/>
      <c r="S253" s="249"/>
      <c r="T253" s="249"/>
      <c r="U253" s="261" t="s">
        <v>154</v>
      </c>
      <c r="V253" s="255">
        <f>bd</f>
        <v>10</v>
      </c>
    </row>
    <row r="254" spans="2:22" ht="12">
      <c r="D254" s="267" t="s">
        <v>244</v>
      </c>
      <c r="E254" s="216">
        <v>0.96</v>
      </c>
      <c r="F254" s="216"/>
      <c r="G254" s="37">
        <f>IF(COMP="","",IF(VOC="","",IF(sim="","",1.84*(COMP+VOC+sim)+44.8)))</f>
        <v>116.56</v>
      </c>
      <c r="H254" s="37"/>
      <c r="I254" s="37"/>
      <c r="J254" s="37"/>
      <c r="K254" s="37"/>
      <c r="L254" s="37"/>
      <c r="M254" s="37"/>
      <c r="N254" s="37"/>
      <c r="O254" s="37"/>
      <c r="P254" s="37"/>
      <c r="Q254" s="37"/>
      <c r="S254" s="249"/>
      <c r="T254" s="249"/>
      <c r="U254" s="261" t="s">
        <v>153</v>
      </c>
      <c r="V254" s="255">
        <f>sim</f>
        <v>16</v>
      </c>
    </row>
    <row r="255" spans="2:22" ht="15.75">
      <c r="D255" s="214" t="str">
        <f>"PRI = "&amp;poi</f>
        <v>PRI = 109</v>
      </c>
      <c r="E255" s="217"/>
      <c r="F255" s="217"/>
      <c r="G255" s="37"/>
      <c r="H255" s="37"/>
      <c r="I255" s="37"/>
      <c r="J255" s="37"/>
      <c r="K255" s="37"/>
      <c r="L255" s="37"/>
      <c r="M255" s="37"/>
      <c r="N255" s="37"/>
      <c r="O255" s="37"/>
      <c r="P255" s="37"/>
      <c r="Q255" s="218"/>
      <c r="R255" s="219"/>
      <c r="S255" s="249"/>
      <c r="T255" s="249"/>
      <c r="U255" s="249" t="s">
        <v>157</v>
      </c>
      <c r="V255" s="255">
        <f>DS</f>
        <v>12</v>
      </c>
    </row>
    <row r="256" spans="2:22" ht="12">
      <c r="D256" s="220" t="s">
        <v>245</v>
      </c>
      <c r="E256" s="221">
        <v>0.95</v>
      </c>
      <c r="F256" s="221"/>
      <c r="G256" s="222">
        <f>IF(FW="","",IF(MR="","",IF(VP="","",1.98*(FW+MR+VP)+40.5)))</f>
        <v>121.67999999999999</v>
      </c>
      <c r="H256" s="37"/>
      <c r="I256" s="37"/>
      <c r="J256" s="37"/>
      <c r="K256" s="37"/>
      <c r="L256" s="37"/>
      <c r="M256" s="37"/>
      <c r="N256" s="37"/>
      <c r="O256" s="37"/>
      <c r="P256" s="37"/>
      <c r="Q256" s="37"/>
      <c r="S256" s="249"/>
      <c r="T256" s="249"/>
      <c r="U256" s="249" t="s">
        <v>246</v>
      </c>
      <c r="V256" s="249">
        <f>dsf</f>
        <v>18</v>
      </c>
    </row>
    <row r="257" spans="3:22" ht="12">
      <c r="D257" s="220" t="s">
        <v>247</v>
      </c>
      <c r="E257" s="221">
        <v>0.95</v>
      </c>
      <c r="F257" s="221"/>
      <c r="G257" s="222">
        <f>IF(FW="","",IF(bd="","",IF(VP="","",1.95*(FW+bd+VP)+41.4)))</f>
        <v>109.65</v>
      </c>
      <c r="H257" s="37"/>
      <c r="I257" s="37"/>
      <c r="J257" s="37"/>
      <c r="K257" s="37"/>
      <c r="L257" s="37"/>
      <c r="M257" s="37"/>
      <c r="N257" s="37"/>
      <c r="O257" s="37"/>
      <c r="P257" s="37"/>
      <c r="Q257" s="37"/>
      <c r="S257" s="249"/>
      <c r="T257" s="249"/>
      <c r="U257" s="249" t="s">
        <v>248</v>
      </c>
      <c r="V257" s="249">
        <f>dsb</f>
        <v>17</v>
      </c>
    </row>
    <row r="258" spans="3:22" ht="12">
      <c r="D258" s="220" t="s">
        <v>249</v>
      </c>
      <c r="E258" s="221">
        <v>0.95</v>
      </c>
      <c r="F258" s="221"/>
      <c r="G258" s="222">
        <f>IF(FW="","",IF(MR="","",IF(bd="","",1.99*(FW+MR+bd)+40.4)))</f>
        <v>123.97999999999999</v>
      </c>
      <c r="H258" s="37"/>
      <c r="I258" s="37"/>
      <c r="J258" s="37"/>
      <c r="K258" s="37"/>
      <c r="L258" s="37"/>
      <c r="M258" s="37"/>
      <c r="N258" s="37"/>
      <c r="O258" s="37"/>
      <c r="P258" s="37"/>
      <c r="Q258" s="37"/>
      <c r="S258" s="249"/>
      <c r="T258" s="249"/>
      <c r="U258" s="249" t="s">
        <v>250</v>
      </c>
      <c r="V258" s="249">
        <f>dssq</f>
        <v>13</v>
      </c>
    </row>
    <row r="259" spans="3:22" ht="12">
      <c r="D259" s="267" t="s">
        <v>251</v>
      </c>
      <c r="E259" s="221">
        <v>0.94</v>
      </c>
      <c r="F259" s="221"/>
      <c r="G259" s="222">
        <f>IF(PCm="","",IF(MR="","",IF(VP="","",2.07*(PCm+MR+VP)+38)))</f>
        <v>110.44999999999999</v>
      </c>
      <c r="H259" s="37"/>
      <c r="I259" s="37"/>
      <c r="J259" s="37"/>
      <c r="K259" s="37"/>
      <c r="L259" s="37"/>
      <c r="M259" s="37"/>
      <c r="N259" s="37"/>
      <c r="O259" s="37"/>
      <c r="P259" s="37"/>
      <c r="Q259" s="37"/>
      <c r="S259" s="249"/>
      <c r="T259" s="249"/>
      <c r="U259" s="261" t="s">
        <v>159</v>
      </c>
      <c r="V259" s="255">
        <f>MR</f>
        <v>16</v>
      </c>
    </row>
    <row r="260" spans="3:22" ht="12">
      <c r="D260" s="267" t="s">
        <v>252</v>
      </c>
      <c r="E260" s="221">
        <v>0.94</v>
      </c>
      <c r="F260" s="221"/>
      <c r="G260" s="222">
        <f>IF(bd="","",IF(PCm="","",IF(VP="","",2*(bd+PCm+VP)+39.9)))</f>
        <v>97.9</v>
      </c>
      <c r="H260" s="37"/>
      <c r="I260" s="37"/>
      <c r="J260" s="37"/>
      <c r="K260" s="37"/>
      <c r="L260" s="37"/>
      <c r="M260" s="37"/>
      <c r="N260" s="37"/>
      <c r="O260" s="37"/>
      <c r="P260" s="37"/>
      <c r="Q260" s="37"/>
      <c r="S260" s="249"/>
      <c r="T260" s="249"/>
      <c r="U260" s="261" t="s">
        <v>155</v>
      </c>
      <c r="V260" s="255">
        <f>VOC</f>
        <v>11</v>
      </c>
    </row>
    <row r="261" spans="3:22" ht="12">
      <c r="D261" s="267" t="s">
        <v>253</v>
      </c>
      <c r="E261" s="221">
        <v>0.93</v>
      </c>
      <c r="F261" s="221"/>
      <c r="G261" s="222">
        <f>IF(bd="","",IF(PCm="","",IF(MR="","",2.06*(bd+PCm+MR)+38.2)))</f>
        <v>112.36</v>
      </c>
      <c r="H261" s="37"/>
      <c r="I261" s="37"/>
      <c r="J261" s="37"/>
      <c r="K261" s="37"/>
      <c r="L261" s="37"/>
      <c r="M261" s="37"/>
      <c r="N261" s="37"/>
      <c r="O261" s="37"/>
      <c r="P261" s="37"/>
      <c r="Q261" s="37"/>
      <c r="S261" s="249"/>
      <c r="T261" s="249"/>
      <c r="U261" s="249" t="s">
        <v>160</v>
      </c>
      <c r="V261" s="255">
        <f>AR</f>
        <v>16</v>
      </c>
    </row>
    <row r="262" spans="3:22" ht="15.75">
      <c r="D262" s="214" t="str">
        <f>"WMI = "&amp;wmi</f>
        <v>WMI = 122</v>
      </c>
      <c r="E262" s="217"/>
      <c r="F262" s="217"/>
      <c r="G262" s="37"/>
      <c r="H262" s="37"/>
      <c r="I262" s="37"/>
      <c r="J262" s="37"/>
      <c r="K262" s="37"/>
      <c r="L262" s="37"/>
      <c r="M262" s="37"/>
      <c r="N262" s="37"/>
      <c r="O262" s="37"/>
      <c r="P262" s="37"/>
      <c r="Q262" s="37"/>
      <c r="S262" s="249"/>
      <c r="T262" s="249"/>
      <c r="U262" s="261" t="s">
        <v>170</v>
      </c>
      <c r="V262" s="255">
        <f>SS</f>
        <v>10</v>
      </c>
    </row>
    <row r="263" spans="3:22" ht="12">
      <c r="D263" s="220" t="s">
        <v>254</v>
      </c>
      <c r="E263" s="221">
        <v>0.7</v>
      </c>
      <c r="F263" s="221"/>
      <c r="G263" s="222">
        <f>IF(lns="","",IF(AR="","",2.83*(lns+AR)+43.4))</f>
        <v>119.81</v>
      </c>
      <c r="H263" s="37"/>
      <c r="I263" s="37"/>
      <c r="J263" s="37"/>
      <c r="K263" s="37"/>
      <c r="L263" s="37"/>
      <c r="M263" s="37"/>
      <c r="N263" s="37"/>
      <c r="O263" s="37"/>
      <c r="P263" s="37"/>
      <c r="Q263" s="37"/>
      <c r="S263" s="249"/>
      <c r="T263" s="249"/>
      <c r="U263" s="249" t="s">
        <v>163</v>
      </c>
      <c r="V263" s="249">
        <f>VP</f>
        <v>9</v>
      </c>
    </row>
    <row r="264" spans="3:22" ht="12">
      <c r="D264" s="220" t="s">
        <v>255</v>
      </c>
      <c r="E264" s="221">
        <v>0.73</v>
      </c>
      <c r="F264" s="221"/>
      <c r="G264" s="222">
        <f>IF(lns="","",IF(DS="","",2.72*(lns+DS)+45.6))</f>
        <v>108.16</v>
      </c>
      <c r="H264" s="37"/>
      <c r="I264" s="37"/>
      <c r="J264" s="37"/>
      <c r="K264" s="37"/>
      <c r="L264" s="37"/>
      <c r="M264" s="37"/>
      <c r="N264" s="37"/>
      <c r="O264" s="37"/>
      <c r="P264" s="37"/>
      <c r="Q264" s="37"/>
      <c r="S264" s="257"/>
      <c r="T264" s="249"/>
      <c r="U264" s="261" t="s">
        <v>156</v>
      </c>
      <c r="V264" s="255">
        <f>IN</f>
        <v>12</v>
      </c>
    </row>
    <row r="265" spans="3:22" ht="15.75">
      <c r="D265" s="214" t="str">
        <f>"PSI = "&amp;psi</f>
        <v>PSI = 86</v>
      </c>
      <c r="E265" s="217"/>
      <c r="F265" s="217"/>
      <c r="G265" s="37"/>
      <c r="H265" s="37"/>
      <c r="I265" s="37"/>
      <c r="J265" s="37"/>
      <c r="K265" s="37"/>
      <c r="L265" s="37"/>
      <c r="M265" s="37"/>
      <c r="N265" s="37"/>
      <c r="O265" s="37"/>
      <c r="P265" s="37"/>
      <c r="Q265" s="218"/>
      <c r="S265" s="249"/>
      <c r="T265" s="249"/>
      <c r="U265" s="261" t="s">
        <v>166</v>
      </c>
      <c r="V265" s="255">
        <f>CD</f>
        <v>5</v>
      </c>
    </row>
    <row r="266" spans="3:22" ht="12">
      <c r="D266" s="220" t="s">
        <v>256</v>
      </c>
      <c r="E266" s="221">
        <v>0.65</v>
      </c>
      <c r="F266" s="221"/>
      <c r="G266" s="222">
        <f>IF(CA="","",IF(CD="","",2.97*(CA+CD)+40.7))</f>
        <v>76.34</v>
      </c>
      <c r="H266" s="37"/>
      <c r="I266" s="37"/>
      <c r="J266" s="37"/>
      <c r="K266" s="37"/>
      <c r="L266" s="37"/>
      <c r="M266" s="37"/>
      <c r="N266" s="37"/>
      <c r="O266" s="37"/>
      <c r="P266" s="37"/>
      <c r="Q266" s="37"/>
      <c r="S266" s="249"/>
      <c r="T266" s="249"/>
      <c r="U266" s="249" t="s">
        <v>167</v>
      </c>
      <c r="V266" s="255">
        <f>lns</f>
        <v>11</v>
      </c>
    </row>
    <row r="267" spans="3:22" ht="12">
      <c r="C267" s="37"/>
      <c r="D267" s="220" t="s">
        <v>257</v>
      </c>
      <c r="E267" s="221">
        <v>0.64</v>
      </c>
      <c r="F267" s="221"/>
      <c r="G267" s="222">
        <f>IF(CA="","",IF(SS="","",2.93*(CA+SS)+41.5))</f>
        <v>91.31</v>
      </c>
      <c r="H267" s="37"/>
      <c r="I267" s="37"/>
      <c r="J267" s="37"/>
      <c r="K267" s="37"/>
      <c r="L267" s="37"/>
      <c r="M267" s="37"/>
      <c r="N267" s="37"/>
      <c r="O267" s="37"/>
      <c r="P267" s="37"/>
      <c r="Q267" s="37"/>
      <c r="S267" s="249"/>
      <c r="T267" s="249"/>
      <c r="U267" s="261" t="s">
        <v>164</v>
      </c>
      <c r="V267" s="255">
        <f>FW</f>
        <v>16</v>
      </c>
    </row>
    <row r="268" spans="3:22" ht="12">
      <c r="S268" s="249"/>
      <c r="T268" s="249"/>
      <c r="U268" s="261" t="s">
        <v>158</v>
      </c>
      <c r="V268" s="255">
        <f>COMP</f>
        <v>12</v>
      </c>
    </row>
    <row r="269" spans="3:22" ht="12">
      <c r="S269" s="249"/>
      <c r="T269" s="249"/>
      <c r="U269" s="261" t="s">
        <v>168</v>
      </c>
      <c r="V269" s="255">
        <f>CA</f>
        <v>7</v>
      </c>
    </row>
    <row r="270" spans="3:22" ht="12">
      <c r="S270" s="249"/>
      <c r="T270" s="249"/>
      <c r="U270" s="261" t="s">
        <v>165</v>
      </c>
      <c r="V270" s="255">
        <f>PCm</f>
        <v>10</v>
      </c>
    </row>
    <row r="271" spans="3:22" ht="12">
      <c r="S271" s="249"/>
      <c r="T271" s="249"/>
      <c r="U271" s="261"/>
      <c r="V271" s="255"/>
    </row>
    <row r="272" spans="3:22">
      <c r="S272" s="249"/>
      <c r="T272" s="249"/>
      <c r="U272" s="249"/>
      <c r="V272" s="249"/>
    </row>
    <row r="328" spans="3:51">
      <c r="I328" s="223"/>
      <c r="S328" s="249"/>
      <c r="T328" s="249"/>
      <c r="U328" s="249"/>
      <c r="V328" s="249"/>
      <c r="W328" s="249"/>
      <c r="X328" s="249"/>
      <c r="Y328" s="249"/>
      <c r="Z328" s="249"/>
      <c r="AA328" s="249"/>
      <c r="AB328" s="249"/>
      <c r="AC328" s="249"/>
      <c r="AD328" s="249"/>
      <c r="AE328" s="249"/>
      <c r="AF328" s="249"/>
      <c r="AG328" s="249"/>
      <c r="AH328" s="249"/>
      <c r="AI328" s="249"/>
      <c r="AJ328" s="249"/>
      <c r="AK328" s="249"/>
      <c r="AL328" s="249"/>
      <c r="AM328" s="249"/>
      <c r="AN328" s="249"/>
      <c r="AO328" s="249"/>
      <c r="AP328" s="249"/>
      <c r="AQ328" s="249"/>
      <c r="AR328" s="249"/>
      <c r="AS328" s="249"/>
      <c r="AT328" s="249"/>
      <c r="AU328" s="249"/>
      <c r="AV328" s="249"/>
      <c r="AW328" s="249"/>
      <c r="AX328" s="249"/>
      <c r="AY328" s="249"/>
    </row>
    <row r="329" spans="3:51">
      <c r="I329" s="223" t="s">
        <v>9</v>
      </c>
      <c r="S329" s="249"/>
      <c r="T329" s="249"/>
      <c r="U329" s="249"/>
      <c r="V329" s="249"/>
      <c r="W329" s="249"/>
      <c r="X329" s="249"/>
      <c r="Y329" s="249"/>
      <c r="Z329" s="249"/>
      <c r="AA329" s="249"/>
      <c r="AB329" s="249"/>
      <c r="AC329" s="249"/>
      <c r="AD329" s="249"/>
      <c r="AE329" s="249"/>
      <c r="AF329" s="249"/>
      <c r="AG329" s="249"/>
      <c r="AH329" s="249"/>
      <c r="AI329" s="249"/>
      <c r="AJ329" s="249"/>
      <c r="AK329" s="249"/>
      <c r="AL329" s="249"/>
      <c r="AM329" s="249"/>
      <c r="AN329" s="249"/>
      <c r="AO329" s="249"/>
      <c r="AP329" s="249"/>
      <c r="AQ329" s="249"/>
      <c r="AR329" s="249"/>
      <c r="AS329" s="249"/>
      <c r="AT329" s="249"/>
      <c r="AU329" s="249"/>
      <c r="AV329" s="249"/>
      <c r="AW329" s="249"/>
      <c r="AX329" s="249"/>
      <c r="AY329" s="249"/>
    </row>
    <row r="330" spans="3:51">
      <c r="I330" s="223"/>
      <c r="S330" s="249"/>
      <c r="T330" s="249"/>
      <c r="U330" s="249"/>
      <c r="V330" s="249"/>
      <c r="W330" s="249"/>
      <c r="X330" s="249"/>
      <c r="Y330" s="249"/>
      <c r="Z330" s="249"/>
      <c r="AA330" s="249"/>
      <c r="AB330" s="249"/>
      <c r="AC330" s="249"/>
      <c r="AD330" s="249"/>
      <c r="AE330" s="249"/>
      <c r="AF330" s="249"/>
      <c r="AG330" s="249"/>
      <c r="AH330" s="249"/>
      <c r="AI330" s="249"/>
      <c r="AJ330" s="249"/>
      <c r="AK330" s="249"/>
      <c r="AL330" s="249"/>
      <c r="AM330" s="249"/>
      <c r="AN330" s="249"/>
      <c r="AO330" s="249"/>
      <c r="AP330" s="249"/>
      <c r="AQ330" s="249"/>
      <c r="AR330" s="249"/>
      <c r="AS330" s="249"/>
      <c r="AT330" s="249"/>
      <c r="AU330" s="249"/>
      <c r="AV330" s="249"/>
      <c r="AW330" s="249"/>
      <c r="AX330" s="249"/>
      <c r="AY330" s="249"/>
    </row>
    <row r="331" spans="3:51">
      <c r="C331" s="4"/>
      <c r="D331" s="4"/>
      <c r="E331" s="4"/>
      <c r="G331" s="4"/>
      <c r="H331" s="4"/>
      <c r="I331" s="4"/>
      <c r="J331" s="4"/>
      <c r="K331" s="4"/>
      <c r="L331" s="4"/>
      <c r="M331" s="4"/>
      <c r="N331" s="4"/>
      <c r="S331" s="254"/>
      <c r="T331" s="254"/>
      <c r="U331" s="249"/>
      <c r="V331" s="249"/>
      <c r="W331" s="249"/>
      <c r="X331" s="249"/>
      <c r="Y331" s="254"/>
      <c r="Z331" s="254"/>
      <c r="AA331" s="249"/>
      <c r="AB331" s="249"/>
      <c r="AC331" s="249"/>
      <c r="AD331" s="249"/>
      <c r="AE331" s="254"/>
      <c r="AF331" s="254"/>
      <c r="AG331" s="249"/>
      <c r="AH331" s="254"/>
      <c r="AI331" s="254"/>
      <c r="AJ331" s="249"/>
      <c r="AK331" s="254"/>
      <c r="AL331" s="254"/>
      <c r="AM331" s="249"/>
      <c r="AN331" s="254"/>
      <c r="AO331" s="254"/>
      <c r="AP331" s="249"/>
      <c r="AQ331" s="249"/>
      <c r="AR331" s="249"/>
      <c r="AS331" s="249"/>
      <c r="AT331" s="249"/>
      <c r="AU331" s="249"/>
      <c r="AV331" s="249"/>
      <c r="AW331" s="254" t="s">
        <v>9</v>
      </c>
      <c r="AX331" s="254" t="s">
        <v>9</v>
      </c>
      <c r="AY331" s="249"/>
    </row>
    <row r="332" spans="3:51">
      <c r="C332" s="4"/>
      <c r="D332" s="4"/>
      <c r="E332" s="4"/>
      <c r="G332" s="4"/>
      <c r="H332" s="4"/>
      <c r="I332" s="4"/>
      <c r="J332" s="4"/>
      <c r="K332" s="4"/>
      <c r="L332" s="4"/>
      <c r="M332" s="4"/>
      <c r="N332" s="4"/>
      <c r="S332" s="254"/>
      <c r="T332" s="254"/>
      <c r="U332" s="249"/>
      <c r="V332" s="249"/>
      <c r="W332" s="249"/>
      <c r="X332" s="249"/>
      <c r="Y332" s="254"/>
      <c r="Z332" s="254"/>
      <c r="AA332" s="249"/>
      <c r="AB332" s="249"/>
      <c r="AC332" s="249"/>
      <c r="AD332" s="249"/>
      <c r="AE332" s="254"/>
      <c r="AF332" s="254"/>
      <c r="AG332" s="249"/>
      <c r="AH332" s="254"/>
      <c r="AI332" s="254"/>
      <c r="AJ332" s="249"/>
      <c r="AK332" s="254"/>
      <c r="AL332" s="254"/>
      <c r="AM332" s="249"/>
      <c r="AN332" s="254"/>
      <c r="AO332" s="254"/>
      <c r="AP332" s="249"/>
      <c r="AQ332" s="249"/>
      <c r="AR332" s="249"/>
      <c r="AS332" s="249"/>
      <c r="AT332" s="249"/>
      <c r="AU332" s="249"/>
      <c r="AV332" s="249"/>
      <c r="AW332" s="254">
        <f>$I$221</f>
        <v>0</v>
      </c>
      <c r="AX332" s="254">
        <f>$I$222</f>
        <v>0</v>
      </c>
      <c r="AY332" s="249"/>
    </row>
    <row r="333" spans="3:51" s="178" customFormat="1" hidden="1">
      <c r="C333" s="249"/>
      <c r="D333" s="249"/>
      <c r="E333" s="249"/>
      <c r="F333" s="249"/>
      <c r="G333" s="249"/>
      <c r="H333" s="249"/>
      <c r="I333" s="249"/>
      <c r="J333" s="249"/>
      <c r="K333" s="249"/>
      <c r="L333" s="249"/>
      <c r="M333" s="249"/>
      <c r="N333" s="249"/>
      <c r="O333" s="249"/>
      <c r="P333" s="249"/>
      <c r="Q333" s="249"/>
      <c r="R333" s="249"/>
      <c r="S333" s="249"/>
      <c r="T333" s="249"/>
      <c r="U333" s="249"/>
      <c r="V333" s="249"/>
      <c r="W333" s="249"/>
      <c r="X333" s="249"/>
      <c r="Y333" s="249"/>
      <c r="Z333" s="249"/>
      <c r="AA333" s="249"/>
      <c r="AB333" s="249"/>
      <c r="AC333" s="249"/>
      <c r="AD333" s="249"/>
      <c r="AE333" s="249"/>
      <c r="AF333" s="249"/>
      <c r="AG333" s="249"/>
      <c r="AH333" s="249"/>
      <c r="AI333" s="249"/>
      <c r="AJ333" s="249"/>
      <c r="AK333" s="249"/>
      <c r="AL333" s="249"/>
      <c r="AM333" s="249"/>
      <c r="AN333" s="249"/>
      <c r="AO333" s="249"/>
      <c r="AP333" s="249"/>
      <c r="AQ333" s="249"/>
      <c r="AR333" s="249"/>
      <c r="AS333" s="249"/>
      <c r="AT333" s="249"/>
      <c r="AU333" s="249"/>
      <c r="AV333" s="249" t="s">
        <v>9</v>
      </c>
      <c r="AW333" s="249" t="s">
        <v>258</v>
      </c>
      <c r="AX333" s="249" t="s">
        <v>259</v>
      </c>
      <c r="AY333" s="249" t="s">
        <v>9</v>
      </c>
    </row>
    <row r="334" spans="3:51" s="178" customFormat="1" hidden="1">
      <c r="C334" s="249"/>
      <c r="D334" s="249"/>
      <c r="E334" s="249"/>
      <c r="F334" s="249"/>
      <c r="G334" s="249"/>
      <c r="H334" s="249"/>
      <c r="I334" s="249"/>
      <c r="J334" s="249"/>
      <c r="K334" s="249"/>
      <c r="L334" s="249"/>
      <c r="M334" s="249"/>
      <c r="N334" s="249"/>
      <c r="O334" s="249"/>
      <c r="P334" s="249"/>
      <c r="Q334" s="249"/>
      <c r="R334" s="249"/>
      <c r="S334" s="249"/>
      <c r="T334" s="249"/>
      <c r="U334" s="249"/>
      <c r="V334" s="249"/>
      <c r="W334" s="249"/>
      <c r="X334" s="249"/>
      <c r="Y334" s="249"/>
      <c r="Z334" s="249"/>
      <c r="AA334" s="249"/>
      <c r="AB334" s="249"/>
      <c r="AC334" s="249"/>
      <c r="AD334" s="249"/>
      <c r="AE334" s="249"/>
      <c r="AF334" s="249"/>
      <c r="AG334" s="249"/>
      <c r="AH334" s="249"/>
      <c r="AI334" s="249"/>
      <c r="AJ334" s="249"/>
      <c r="AK334" s="249"/>
      <c r="AL334" s="249"/>
      <c r="AM334" s="249"/>
      <c r="AN334" s="249"/>
      <c r="AO334" s="249"/>
      <c r="AP334" s="249"/>
      <c r="AQ334" s="249"/>
      <c r="AR334" s="249"/>
      <c r="AS334" s="249"/>
      <c r="AT334" s="249"/>
      <c r="AU334" s="249"/>
      <c r="AV334" s="249"/>
      <c r="AW334" s="249">
        <f>AVERAGE($AW$332:$AX$332)</f>
        <v>0</v>
      </c>
      <c r="AX334" s="249">
        <f>AVERAGE($AW$332:$AX$332)</f>
        <v>0</v>
      </c>
      <c r="AY334" s="249"/>
    </row>
    <row r="335" spans="3:51" s="178" customFormat="1" hidden="1">
      <c r="C335" s="249"/>
      <c r="D335" s="249"/>
      <c r="E335" s="249"/>
      <c r="F335" s="249"/>
      <c r="G335" s="249"/>
      <c r="H335" s="249"/>
      <c r="I335" s="249"/>
      <c r="J335" s="249"/>
      <c r="K335" s="249"/>
      <c r="L335" s="249"/>
      <c r="M335" s="249"/>
      <c r="N335" s="249"/>
      <c r="O335" s="249"/>
      <c r="P335" s="254"/>
      <c r="Q335" s="254"/>
      <c r="R335" s="249"/>
      <c r="S335" s="254"/>
      <c r="T335" s="254"/>
      <c r="U335" s="249"/>
      <c r="V335" s="254"/>
      <c r="W335" s="254"/>
      <c r="X335" s="249"/>
      <c r="Y335" s="254"/>
      <c r="Z335" s="254"/>
      <c r="AA335" s="249"/>
      <c r="AB335" s="254"/>
      <c r="AC335" s="254"/>
      <c r="AD335" s="249"/>
      <c r="AE335" s="254"/>
      <c r="AF335" s="254"/>
      <c r="AG335" s="249"/>
      <c r="AH335" s="249"/>
      <c r="AI335" s="249"/>
      <c r="AJ335" s="249"/>
      <c r="AK335" s="249"/>
      <c r="AL335" s="249"/>
      <c r="AM335" s="249"/>
      <c r="AN335" s="249"/>
      <c r="AO335" s="249"/>
      <c r="AP335" s="249"/>
      <c r="AQ335" s="249"/>
      <c r="AR335" s="249"/>
      <c r="AS335" s="249"/>
      <c r="AT335" s="249"/>
      <c r="AU335" s="249"/>
      <c r="AV335" s="249"/>
      <c r="AW335" s="249"/>
      <c r="AX335" s="249"/>
      <c r="AY335" s="249"/>
    </row>
    <row r="336" spans="3:51" s="178" customFormat="1" hidden="1">
      <c r="C336" s="249"/>
      <c r="D336" s="249"/>
      <c r="E336" s="249"/>
      <c r="F336" s="249"/>
      <c r="G336" s="249"/>
      <c r="H336" s="249"/>
      <c r="I336" s="249"/>
      <c r="J336" s="249"/>
      <c r="K336" s="249"/>
      <c r="L336" s="249"/>
      <c r="M336" s="249"/>
      <c r="N336" s="249"/>
      <c r="O336" s="249"/>
      <c r="P336" s="249"/>
      <c r="Q336" s="249"/>
      <c r="R336" s="249"/>
      <c r="S336" s="249"/>
      <c r="T336" s="249"/>
      <c r="U336" s="249"/>
      <c r="V336" s="249"/>
      <c r="W336" s="249"/>
      <c r="X336" s="249"/>
      <c r="Y336" s="249"/>
      <c r="Z336" s="249"/>
      <c r="AA336" s="249"/>
      <c r="AB336" s="249"/>
      <c r="AC336" s="249"/>
      <c r="AD336" s="249"/>
      <c r="AE336" s="249"/>
      <c r="AF336" s="249"/>
      <c r="AG336" s="249"/>
      <c r="AH336" s="249"/>
      <c r="AI336" s="249"/>
      <c r="AJ336" s="249"/>
      <c r="AK336" s="249"/>
      <c r="AL336" s="249"/>
      <c r="AM336" s="249"/>
      <c r="AN336" s="249"/>
      <c r="AO336" s="249"/>
      <c r="AP336" s="249"/>
      <c r="AQ336" s="249"/>
      <c r="AR336" s="249"/>
      <c r="AS336" s="249"/>
      <c r="AT336" s="249"/>
      <c r="AU336" s="249"/>
      <c r="AV336" s="249"/>
      <c r="AW336" s="249"/>
      <c r="AX336" s="249"/>
      <c r="AY336" s="249"/>
    </row>
    <row r="337" spans="1:124" s="178" customFormat="1" hidden="1">
      <c r="A337" s="249"/>
      <c r="B337" s="249"/>
      <c r="C337" s="249"/>
      <c r="D337" s="249"/>
      <c r="E337" s="249"/>
      <c r="F337" s="249"/>
      <c r="G337" s="249"/>
      <c r="H337" s="249"/>
      <c r="I337" s="249"/>
      <c r="J337" s="249"/>
      <c r="K337" s="249"/>
      <c r="L337" s="249"/>
      <c r="M337" s="249"/>
      <c r="N337" s="249"/>
      <c r="O337" s="249"/>
      <c r="P337" s="249"/>
      <c r="Q337" s="249"/>
      <c r="R337" s="249"/>
      <c r="S337" s="249"/>
      <c r="T337" s="249"/>
      <c r="U337" s="249"/>
      <c r="V337" s="249"/>
      <c r="W337" s="249"/>
      <c r="X337" s="249"/>
      <c r="Y337" s="249"/>
      <c r="Z337" s="249"/>
      <c r="AA337" s="249"/>
      <c r="AB337" s="249"/>
      <c r="AC337" s="249"/>
      <c r="AD337" s="249"/>
      <c r="AE337" s="249"/>
      <c r="AF337" s="249"/>
      <c r="AG337" s="249"/>
      <c r="AH337" s="249"/>
      <c r="AI337" s="249"/>
      <c r="AJ337" s="249"/>
      <c r="AK337" s="249"/>
      <c r="AL337" s="249"/>
      <c r="AM337" s="249"/>
      <c r="AN337" s="249"/>
      <c r="AO337" s="249"/>
      <c r="AP337" s="249"/>
      <c r="AQ337" s="249"/>
      <c r="AR337" s="249"/>
      <c r="AS337" s="249"/>
      <c r="AT337" s="249"/>
      <c r="AU337" s="249"/>
      <c r="AV337" s="249"/>
      <c r="AW337" s="249"/>
      <c r="AX337" s="249"/>
      <c r="AY337" s="249"/>
      <c r="AZ337" s="249"/>
      <c r="BA337" s="249"/>
      <c r="BB337" s="249"/>
      <c r="BC337" s="249"/>
      <c r="BD337" s="249"/>
      <c r="BE337" s="249"/>
      <c r="BF337" s="249"/>
      <c r="BG337" s="249"/>
      <c r="BH337" s="249"/>
      <c r="BI337" s="249"/>
      <c r="BJ337" s="249"/>
      <c r="BK337" s="249"/>
      <c r="BL337" s="249"/>
      <c r="BM337" s="249"/>
      <c r="BN337" s="249"/>
      <c r="BO337" s="249"/>
      <c r="BP337" s="249"/>
      <c r="BQ337" s="249"/>
      <c r="BR337" s="249"/>
      <c r="BS337" s="249"/>
      <c r="BT337" s="249"/>
      <c r="BU337" s="249"/>
      <c r="BV337" s="249"/>
      <c r="BW337" s="249"/>
      <c r="BX337" s="249"/>
      <c r="BY337" s="249"/>
      <c r="BZ337" s="249"/>
      <c r="CA337" s="249"/>
      <c r="CB337" s="249"/>
      <c r="CC337" s="249"/>
      <c r="CD337" s="249"/>
      <c r="CE337" s="249"/>
      <c r="CF337" s="249"/>
      <c r="CG337" s="249"/>
      <c r="CH337" s="249"/>
      <c r="CI337" s="249"/>
      <c r="CJ337" s="249"/>
      <c r="CK337" s="249"/>
      <c r="CL337" s="249"/>
      <c r="CM337" s="249"/>
      <c r="CN337" s="249"/>
      <c r="CO337" s="249"/>
      <c r="CP337" s="249"/>
      <c r="CQ337" s="249"/>
      <c r="CR337" s="249"/>
      <c r="CS337" s="249"/>
      <c r="CT337" s="249"/>
      <c r="CU337" s="249"/>
      <c r="CV337" s="249"/>
      <c r="CW337" s="249"/>
      <c r="CX337" s="249"/>
      <c r="CY337" s="249"/>
      <c r="CZ337" s="249"/>
      <c r="DA337" s="249"/>
      <c r="DB337" s="249"/>
      <c r="DC337" s="249"/>
      <c r="DD337" s="249"/>
      <c r="DE337" s="249"/>
      <c r="DF337" s="249"/>
      <c r="DG337" s="249"/>
      <c r="DH337" s="249"/>
      <c r="DI337" s="249"/>
      <c r="DJ337" s="249"/>
      <c r="DK337" s="249"/>
      <c r="DL337" s="249"/>
      <c r="DM337" s="249"/>
      <c r="DN337" s="249"/>
      <c r="DO337" s="249"/>
      <c r="DP337" s="249"/>
      <c r="DQ337" s="249"/>
      <c r="DR337" s="249"/>
      <c r="DS337" s="249"/>
      <c r="DT337" s="249"/>
    </row>
    <row r="338" spans="1:124" s="177" customFormat="1" hidden="1">
      <c r="A338" s="177" t="s">
        <v>37</v>
      </c>
      <c r="B338" s="177">
        <v>40</v>
      </c>
      <c r="C338" s="177">
        <v>62</v>
      </c>
      <c r="D338" s="177">
        <v>68</v>
      </c>
      <c r="E338" s="177">
        <v>71</v>
      </c>
      <c r="F338" s="177">
        <v>73</v>
      </c>
      <c r="G338" s="177">
        <v>75</v>
      </c>
      <c r="H338" s="177">
        <v>77</v>
      </c>
      <c r="I338" s="177">
        <v>78</v>
      </c>
      <c r="J338" s="177">
        <v>79</v>
      </c>
      <c r="K338" s="177">
        <v>80</v>
      </c>
      <c r="L338" s="177">
        <v>81</v>
      </c>
      <c r="M338" s="177">
        <v>82</v>
      </c>
      <c r="N338" s="177">
        <v>83</v>
      </c>
      <c r="O338" s="177">
        <v>84</v>
      </c>
      <c r="P338" s="177">
        <v>85</v>
      </c>
      <c r="Q338" s="177">
        <v>86</v>
      </c>
      <c r="R338" s="177">
        <v>87</v>
      </c>
      <c r="S338" s="177">
        <v>88</v>
      </c>
      <c r="T338" s="177">
        <v>89</v>
      </c>
      <c r="U338" s="177">
        <v>90</v>
      </c>
      <c r="V338" s="177">
        <v>91</v>
      </c>
      <c r="W338" s="177">
        <v>92</v>
      </c>
      <c r="X338" s="177">
        <v>93</v>
      </c>
      <c r="Y338" s="177">
        <v>94</v>
      </c>
      <c r="Z338" s="177">
        <v>95</v>
      </c>
      <c r="AA338" s="177">
        <v>96</v>
      </c>
      <c r="AB338" s="177">
        <v>97</v>
      </c>
      <c r="AC338" s="177">
        <v>98</v>
      </c>
      <c r="AD338" s="177">
        <v>99</v>
      </c>
      <c r="AE338" s="177">
        <v>100</v>
      </c>
      <c r="AF338" s="177">
        <v>101</v>
      </c>
      <c r="AG338" s="177">
        <v>102</v>
      </c>
      <c r="AH338" s="177">
        <v>103</v>
      </c>
      <c r="AI338" s="177">
        <v>104</v>
      </c>
      <c r="AJ338" s="177">
        <v>105</v>
      </c>
      <c r="AK338" s="177">
        <v>106</v>
      </c>
      <c r="AL338" s="177">
        <v>107</v>
      </c>
      <c r="AM338" s="177">
        <v>108</v>
      </c>
      <c r="AN338" s="177">
        <v>109</v>
      </c>
      <c r="AO338" s="177">
        <v>110</v>
      </c>
      <c r="AP338" s="177">
        <v>111</v>
      </c>
      <c r="AQ338" s="177">
        <v>112</v>
      </c>
      <c r="AR338" s="177">
        <v>113</v>
      </c>
      <c r="AS338" s="177">
        <v>114</v>
      </c>
      <c r="AT338" s="177">
        <v>115</v>
      </c>
      <c r="AU338" s="177">
        <v>116</v>
      </c>
      <c r="AV338" s="177">
        <v>117</v>
      </c>
      <c r="AW338" s="177">
        <v>118</v>
      </c>
      <c r="AX338" s="177">
        <v>119</v>
      </c>
      <c r="AY338" s="177">
        <v>120</v>
      </c>
      <c r="AZ338" s="177">
        <v>121</v>
      </c>
      <c r="BA338" s="177">
        <v>122</v>
      </c>
      <c r="BB338" s="177">
        <v>123</v>
      </c>
      <c r="BC338" s="177">
        <v>124</v>
      </c>
      <c r="BD338" s="177">
        <v>126</v>
      </c>
      <c r="BE338" s="177">
        <v>127</v>
      </c>
      <c r="BF338" s="177">
        <v>128</v>
      </c>
      <c r="BG338" s="177">
        <v>129</v>
      </c>
      <c r="BH338" s="177">
        <v>130</v>
      </c>
      <c r="BI338" s="177">
        <f>BH338+1</f>
        <v>131</v>
      </c>
      <c r="BJ338" s="177">
        <f t="shared" ref="BJ338:CM338" si="13">BI338+1</f>
        <v>132</v>
      </c>
      <c r="BK338" s="177">
        <f t="shared" si="13"/>
        <v>133</v>
      </c>
      <c r="BL338" s="177">
        <f t="shared" si="13"/>
        <v>134</v>
      </c>
      <c r="BM338" s="177">
        <f t="shared" si="13"/>
        <v>135</v>
      </c>
      <c r="BN338" s="177">
        <f t="shared" si="13"/>
        <v>136</v>
      </c>
      <c r="BO338" s="177">
        <f t="shared" si="13"/>
        <v>137</v>
      </c>
      <c r="BP338" s="177">
        <f t="shared" si="13"/>
        <v>138</v>
      </c>
      <c r="BQ338" s="177">
        <f t="shared" si="13"/>
        <v>139</v>
      </c>
      <c r="BR338" s="177">
        <f t="shared" si="13"/>
        <v>140</v>
      </c>
      <c r="BS338" s="177">
        <f t="shared" si="13"/>
        <v>141</v>
      </c>
      <c r="BT338" s="177">
        <f t="shared" si="13"/>
        <v>142</v>
      </c>
      <c r="BU338" s="177">
        <f t="shared" si="13"/>
        <v>143</v>
      </c>
      <c r="BV338" s="177">
        <f t="shared" si="13"/>
        <v>144</v>
      </c>
      <c r="BW338" s="177">
        <f t="shared" si="13"/>
        <v>145</v>
      </c>
      <c r="BX338" s="177">
        <f t="shared" si="13"/>
        <v>146</v>
      </c>
      <c r="BY338" s="177">
        <f t="shared" si="13"/>
        <v>147</v>
      </c>
      <c r="BZ338" s="177">
        <f t="shared" si="13"/>
        <v>148</v>
      </c>
      <c r="CA338" s="177">
        <f t="shared" si="13"/>
        <v>149</v>
      </c>
      <c r="CB338" s="177">
        <f t="shared" si="13"/>
        <v>150</v>
      </c>
      <c r="CC338" s="177">
        <f t="shared" si="13"/>
        <v>151</v>
      </c>
      <c r="CD338" s="177">
        <f t="shared" si="13"/>
        <v>152</v>
      </c>
      <c r="CE338" s="177">
        <f t="shared" si="13"/>
        <v>153</v>
      </c>
      <c r="CF338" s="177">
        <f t="shared" si="13"/>
        <v>154</v>
      </c>
      <c r="CG338" s="177">
        <f t="shared" si="13"/>
        <v>155</v>
      </c>
      <c r="CH338" s="177">
        <f t="shared" si="13"/>
        <v>156</v>
      </c>
      <c r="CI338" s="177">
        <f t="shared" si="13"/>
        <v>157</v>
      </c>
      <c r="CJ338" s="177">
        <f>CI338+1</f>
        <v>158</v>
      </c>
      <c r="CK338" s="177">
        <f t="shared" si="13"/>
        <v>159</v>
      </c>
      <c r="CL338" s="177">
        <f t="shared" si="13"/>
        <v>160</v>
      </c>
      <c r="CM338" s="177">
        <f t="shared" si="13"/>
        <v>161</v>
      </c>
    </row>
    <row r="339" spans="1:124" s="177" customFormat="1" hidden="1">
      <c r="A339" s="177" t="s">
        <v>260</v>
      </c>
      <c r="B339" s="177">
        <v>1</v>
      </c>
      <c r="C339" s="177">
        <v>1</v>
      </c>
      <c r="D339" s="177">
        <v>2</v>
      </c>
      <c r="E339" s="177">
        <v>3</v>
      </c>
      <c r="F339" s="177">
        <v>4</v>
      </c>
      <c r="G339" s="177">
        <v>5</v>
      </c>
      <c r="H339" s="177">
        <v>6</v>
      </c>
      <c r="I339" s="177">
        <v>7</v>
      </c>
      <c r="J339" s="177">
        <v>8</v>
      </c>
      <c r="K339" s="177">
        <v>9</v>
      </c>
      <c r="L339" s="177">
        <v>10</v>
      </c>
      <c r="M339" s="177">
        <v>12</v>
      </c>
      <c r="N339" s="177">
        <v>13</v>
      </c>
      <c r="O339" s="177">
        <v>14</v>
      </c>
      <c r="P339" s="177">
        <v>16</v>
      </c>
      <c r="Q339" s="177">
        <v>18</v>
      </c>
      <c r="R339" s="177">
        <v>19</v>
      </c>
      <c r="S339" s="177">
        <v>21</v>
      </c>
      <c r="T339" s="177">
        <v>23</v>
      </c>
      <c r="U339" s="177">
        <v>25</v>
      </c>
      <c r="V339" s="177">
        <v>27</v>
      </c>
      <c r="W339" s="177">
        <v>30</v>
      </c>
      <c r="X339" s="177">
        <v>32</v>
      </c>
      <c r="Y339" s="177">
        <v>34</v>
      </c>
      <c r="Z339" s="177">
        <v>37</v>
      </c>
      <c r="AA339" s="177">
        <v>39</v>
      </c>
      <c r="AB339" s="177">
        <v>42</v>
      </c>
      <c r="AC339" s="177">
        <v>45</v>
      </c>
      <c r="AD339" s="177">
        <v>47</v>
      </c>
      <c r="AE339" s="177">
        <v>50</v>
      </c>
      <c r="AF339" s="177">
        <v>53</v>
      </c>
      <c r="AG339" s="177">
        <v>55</v>
      </c>
      <c r="AH339" s="177">
        <v>58</v>
      </c>
      <c r="AI339" s="177">
        <v>61</v>
      </c>
      <c r="AJ339" s="177">
        <v>63</v>
      </c>
      <c r="AK339" s="177">
        <v>66</v>
      </c>
      <c r="AL339" s="177">
        <v>68</v>
      </c>
      <c r="AM339" s="177">
        <v>70</v>
      </c>
      <c r="AN339" s="177">
        <v>73</v>
      </c>
      <c r="AO339" s="177">
        <v>75</v>
      </c>
      <c r="AP339" s="177">
        <v>77</v>
      </c>
      <c r="AQ339" s="177">
        <v>79</v>
      </c>
      <c r="AR339" s="177">
        <v>81</v>
      </c>
      <c r="AS339" s="177">
        <v>82</v>
      </c>
      <c r="AT339" s="177">
        <v>84</v>
      </c>
      <c r="AU339" s="177">
        <v>86</v>
      </c>
      <c r="AV339" s="177">
        <v>87</v>
      </c>
      <c r="AW339" s="177">
        <v>88</v>
      </c>
      <c r="AX339" s="177">
        <v>90</v>
      </c>
      <c r="AY339" s="177">
        <v>91</v>
      </c>
      <c r="AZ339" s="177">
        <v>92</v>
      </c>
      <c r="BA339" s="177">
        <v>93</v>
      </c>
      <c r="BB339" s="177">
        <v>94</v>
      </c>
      <c r="BC339" s="177">
        <v>95</v>
      </c>
      <c r="BD339" s="177">
        <v>96</v>
      </c>
      <c r="BE339" s="177">
        <v>96</v>
      </c>
      <c r="BF339" s="177">
        <v>97</v>
      </c>
      <c r="BG339" s="177">
        <v>98</v>
      </c>
      <c r="BH339" s="177">
        <v>98</v>
      </c>
      <c r="BI339" s="177">
        <v>98</v>
      </c>
      <c r="BJ339" s="177">
        <v>98</v>
      </c>
      <c r="BK339" s="177">
        <v>99</v>
      </c>
      <c r="BL339" s="177">
        <v>99</v>
      </c>
      <c r="BM339" s="177">
        <v>99</v>
      </c>
      <c r="BN339" s="177">
        <v>99</v>
      </c>
      <c r="BO339" s="177">
        <v>99</v>
      </c>
      <c r="BP339" s="177">
        <v>99</v>
      </c>
      <c r="BQ339" s="177">
        <v>99</v>
      </c>
      <c r="BR339" s="177">
        <v>99</v>
      </c>
      <c r="BS339" s="177">
        <v>99</v>
      </c>
      <c r="BT339" s="177">
        <v>99</v>
      </c>
      <c r="BU339" s="177">
        <v>99</v>
      </c>
      <c r="BV339" s="177">
        <v>99</v>
      </c>
      <c r="BW339" s="177">
        <v>99</v>
      </c>
      <c r="BX339" s="177">
        <v>99</v>
      </c>
      <c r="BY339" s="177">
        <v>99</v>
      </c>
      <c r="BZ339" s="177">
        <v>99</v>
      </c>
      <c r="CA339" s="177">
        <v>99</v>
      </c>
      <c r="CB339" s="177">
        <v>99</v>
      </c>
      <c r="CC339" s="177">
        <v>99</v>
      </c>
      <c r="CD339" s="177">
        <v>99</v>
      </c>
      <c r="CE339" s="177">
        <v>99</v>
      </c>
      <c r="CF339" s="177">
        <v>99</v>
      </c>
      <c r="CG339" s="177">
        <v>99</v>
      </c>
      <c r="CH339" s="177">
        <v>99</v>
      </c>
      <c r="CI339" s="177">
        <v>99</v>
      </c>
      <c r="CJ339" s="177">
        <v>99</v>
      </c>
      <c r="CK339" s="177">
        <v>99</v>
      </c>
      <c r="CL339" s="177">
        <v>99</v>
      </c>
      <c r="CM339" s="177">
        <v>99</v>
      </c>
    </row>
    <row r="340" spans="1:124" s="178" customFormat="1" hidden="1">
      <c r="A340" s="249"/>
      <c r="B340" s="249"/>
      <c r="C340" s="249"/>
      <c r="D340" s="249"/>
      <c r="E340" s="249"/>
      <c r="F340" s="249"/>
      <c r="G340" s="249"/>
      <c r="H340" s="249"/>
      <c r="I340" s="249"/>
      <c r="J340" s="249"/>
      <c r="K340" s="249"/>
      <c r="L340" s="249"/>
      <c r="M340" s="249"/>
      <c r="N340" s="249"/>
      <c r="O340" s="249"/>
      <c r="P340" s="249"/>
      <c r="Q340" s="249"/>
      <c r="R340" s="249"/>
      <c r="S340" s="249"/>
      <c r="T340" s="249"/>
      <c r="U340" s="249"/>
      <c r="V340" s="249"/>
      <c r="W340" s="249"/>
      <c r="X340" s="249"/>
      <c r="Y340" s="249"/>
      <c r="Z340" s="249"/>
      <c r="AA340" s="249"/>
      <c r="AB340" s="249"/>
      <c r="AC340" s="249"/>
      <c r="AD340" s="249"/>
      <c r="AE340" s="249"/>
      <c r="AF340" s="249"/>
      <c r="AG340" s="249"/>
      <c r="AH340" s="249"/>
      <c r="AI340" s="249"/>
      <c r="AJ340" s="249"/>
      <c r="AK340" s="249"/>
      <c r="AL340" s="249"/>
      <c r="AM340" s="249"/>
      <c r="AN340" s="249"/>
      <c r="AO340" s="249"/>
      <c r="AP340" s="249"/>
      <c r="AQ340" s="249"/>
      <c r="AR340" s="249"/>
      <c r="AS340" s="249"/>
      <c r="AT340" s="249"/>
      <c r="AU340" s="249"/>
      <c r="AV340" s="249"/>
      <c r="AW340" s="249"/>
      <c r="AX340" s="249"/>
      <c r="AY340" s="249"/>
      <c r="AZ340" s="249"/>
      <c r="BA340" s="249"/>
      <c r="BB340" s="249"/>
      <c r="BC340" s="249"/>
      <c r="BD340" s="249"/>
      <c r="BE340" s="249"/>
      <c r="BF340" s="249"/>
      <c r="BG340" s="249"/>
      <c r="BH340" s="249"/>
      <c r="BI340" s="249"/>
      <c r="BJ340" s="249"/>
      <c r="BK340" s="249"/>
      <c r="BL340" s="249"/>
      <c r="BM340" s="249"/>
      <c r="BN340" s="249"/>
      <c r="BO340" s="249"/>
      <c r="BP340" s="249"/>
      <c r="BQ340" s="249"/>
      <c r="BR340" s="249"/>
      <c r="BS340" s="249"/>
      <c r="BT340" s="249"/>
      <c r="BU340" s="249"/>
      <c r="BV340" s="249"/>
      <c r="BW340" s="249"/>
      <c r="BX340" s="249"/>
      <c r="BY340" s="249"/>
      <c r="BZ340" s="249"/>
      <c r="CA340" s="249"/>
      <c r="CB340" s="249"/>
      <c r="CC340" s="249"/>
      <c r="CD340" s="249"/>
      <c r="CE340" s="249"/>
      <c r="CF340" s="249"/>
      <c r="CG340" s="249"/>
      <c r="CH340" s="249"/>
      <c r="CI340" s="249"/>
      <c r="CJ340" s="249"/>
      <c r="CK340" s="249"/>
      <c r="CL340" s="249"/>
      <c r="CM340" s="249"/>
      <c r="CN340" s="249"/>
      <c r="CO340" s="249"/>
      <c r="CP340" s="249"/>
      <c r="CQ340" s="249"/>
      <c r="CR340" s="249"/>
      <c r="CS340" s="249"/>
      <c r="CT340" s="249"/>
      <c r="CU340" s="249"/>
      <c r="CV340" s="249"/>
      <c r="CW340" s="249"/>
      <c r="CX340" s="249"/>
      <c r="CY340" s="249"/>
      <c r="CZ340" s="249"/>
      <c r="DA340" s="249"/>
      <c r="DB340" s="249"/>
      <c r="DC340" s="249"/>
      <c r="DD340" s="249"/>
      <c r="DE340" s="249"/>
      <c r="DF340" s="249"/>
      <c r="DG340" s="249"/>
      <c r="DH340" s="249"/>
      <c r="DI340" s="249"/>
      <c r="DJ340" s="249"/>
      <c r="DK340" s="249"/>
      <c r="DL340" s="249"/>
      <c r="DM340" s="249"/>
      <c r="DN340" s="249"/>
      <c r="DO340" s="249"/>
      <c r="DP340" s="249"/>
      <c r="DQ340" s="249"/>
      <c r="DR340" s="249"/>
      <c r="DS340" s="249"/>
      <c r="DT340" s="249"/>
    </row>
    <row r="341" spans="1:124" s="178" customFormat="1" hidden="1">
      <c r="A341" s="249"/>
      <c r="B341" s="249"/>
      <c r="C341" s="249"/>
      <c r="D341" s="249"/>
      <c r="E341" s="249"/>
      <c r="F341" s="249"/>
      <c r="G341" s="249"/>
      <c r="H341" s="249"/>
      <c r="I341" s="249"/>
      <c r="J341" s="249"/>
      <c r="K341" s="249"/>
      <c r="L341" s="249"/>
      <c r="M341" s="249"/>
      <c r="N341" s="249"/>
      <c r="O341" s="249"/>
      <c r="P341" s="249"/>
      <c r="Q341" s="249"/>
      <c r="R341" s="249"/>
      <c r="S341" s="249"/>
      <c r="T341" s="249"/>
      <c r="U341" s="249"/>
      <c r="V341" s="249"/>
      <c r="W341" s="249"/>
      <c r="X341" s="249"/>
      <c r="Y341" s="249"/>
      <c r="Z341" s="249"/>
      <c r="AA341" s="249"/>
      <c r="AB341" s="249"/>
      <c r="AC341" s="249"/>
      <c r="AD341" s="249"/>
      <c r="AE341" s="249"/>
      <c r="AF341" s="249"/>
      <c r="AG341" s="249"/>
      <c r="AH341" s="249"/>
      <c r="AI341" s="249"/>
      <c r="AJ341" s="249"/>
      <c r="AK341" s="249"/>
      <c r="AL341" s="249"/>
      <c r="AM341" s="249"/>
      <c r="AN341" s="249"/>
      <c r="AO341" s="249"/>
      <c r="AP341" s="249"/>
      <c r="AQ341" s="249"/>
      <c r="AR341" s="249"/>
      <c r="AS341" s="249"/>
      <c r="AT341" s="249"/>
      <c r="AU341" s="249"/>
      <c r="AV341" s="249"/>
      <c r="AW341" s="249"/>
      <c r="AX341" s="249"/>
      <c r="AY341" s="249"/>
      <c r="AZ341" s="249"/>
      <c r="BA341" s="249"/>
      <c r="BB341" s="249"/>
      <c r="BC341" s="249"/>
      <c r="BD341" s="249"/>
      <c r="BE341" s="249"/>
      <c r="BF341" s="249"/>
      <c r="BG341" s="249"/>
      <c r="BH341" s="249"/>
      <c r="BI341" s="249"/>
      <c r="BJ341" s="249"/>
      <c r="BK341" s="249"/>
      <c r="BL341" s="249"/>
      <c r="BM341" s="249"/>
      <c r="BN341" s="249"/>
      <c r="BO341" s="249"/>
      <c r="BP341" s="249"/>
      <c r="BQ341" s="249"/>
      <c r="BR341" s="249"/>
      <c r="BS341" s="249"/>
      <c r="BT341" s="249"/>
      <c r="BU341" s="249"/>
      <c r="BV341" s="249"/>
      <c r="BW341" s="249"/>
      <c r="BX341" s="249"/>
      <c r="BY341" s="249"/>
      <c r="BZ341" s="249"/>
      <c r="CA341" s="249"/>
      <c r="CB341" s="249"/>
      <c r="CC341" s="249"/>
      <c r="CD341" s="249"/>
      <c r="CE341" s="249"/>
      <c r="CF341" s="249"/>
      <c r="CG341" s="249"/>
      <c r="CH341" s="249"/>
      <c r="CI341" s="249"/>
      <c r="CJ341" s="249"/>
      <c r="CK341" s="249"/>
      <c r="CL341" s="249"/>
      <c r="CM341" s="249"/>
      <c r="CN341" s="249"/>
      <c r="CO341" s="249"/>
      <c r="CP341" s="249"/>
      <c r="CQ341" s="249"/>
      <c r="CR341" s="249"/>
      <c r="CS341" s="249"/>
      <c r="CT341" s="249"/>
      <c r="CU341" s="249"/>
      <c r="CV341" s="249"/>
      <c r="CW341" s="249"/>
      <c r="CX341" s="249"/>
      <c r="CY341" s="249"/>
      <c r="CZ341" s="249"/>
      <c r="DA341" s="249"/>
      <c r="DB341" s="249"/>
      <c r="DC341" s="249"/>
      <c r="DD341" s="249"/>
      <c r="DE341" s="249"/>
      <c r="DF341" s="249"/>
      <c r="DG341" s="249"/>
      <c r="DH341" s="249"/>
      <c r="DI341" s="249"/>
      <c r="DJ341" s="249"/>
      <c r="DK341" s="249"/>
      <c r="DL341" s="249"/>
      <c r="DM341" s="249"/>
      <c r="DN341" s="249"/>
      <c r="DO341" s="249"/>
      <c r="DP341" s="249"/>
      <c r="DQ341" s="249"/>
      <c r="DR341" s="249"/>
      <c r="DS341" s="249"/>
      <c r="DT341" s="249"/>
    </row>
    <row r="342" spans="1:124" s="178" customFormat="1" hidden="1">
      <c r="A342" s="249"/>
      <c r="B342" s="249"/>
      <c r="C342" s="257" t="s">
        <v>75</v>
      </c>
      <c r="D342" s="254">
        <v>1</v>
      </c>
      <c r="E342" s="254">
        <v>12</v>
      </c>
      <c r="F342" s="254">
        <v>13</v>
      </c>
      <c r="G342" s="254">
        <v>14</v>
      </c>
      <c r="H342" s="254">
        <v>15</v>
      </c>
      <c r="I342" s="254">
        <v>16</v>
      </c>
      <c r="J342" s="254">
        <v>17</v>
      </c>
      <c r="K342" s="254">
        <v>18</v>
      </c>
      <c r="L342" s="254">
        <v>19</v>
      </c>
      <c r="M342" s="254">
        <v>20</v>
      </c>
      <c r="N342" s="254">
        <v>21</v>
      </c>
      <c r="O342" s="254">
        <v>22</v>
      </c>
      <c r="P342" s="254">
        <v>23</v>
      </c>
      <c r="Q342" s="254">
        <v>24</v>
      </c>
      <c r="R342" s="254">
        <v>25</v>
      </c>
      <c r="S342" s="254">
        <v>26</v>
      </c>
      <c r="T342" s="254">
        <v>27</v>
      </c>
      <c r="U342" s="254">
        <v>28</v>
      </c>
      <c r="V342" s="254">
        <v>31</v>
      </c>
      <c r="W342" s="254">
        <v>34</v>
      </c>
      <c r="X342" s="249"/>
      <c r="Y342" s="249"/>
      <c r="Z342" s="249"/>
      <c r="AA342" s="249"/>
      <c r="AB342" s="249"/>
      <c r="AC342" s="249"/>
      <c r="AD342" s="249"/>
      <c r="AE342" s="249"/>
      <c r="AF342" s="249"/>
      <c r="AG342" s="249"/>
      <c r="AH342" s="249"/>
      <c r="AI342" s="249"/>
      <c r="AJ342" s="249"/>
      <c r="AK342" s="249"/>
      <c r="AL342" s="249"/>
      <c r="AM342" s="249"/>
      <c r="AN342" s="249"/>
      <c r="AO342" s="249"/>
      <c r="AP342" s="249"/>
      <c r="AQ342" s="249"/>
      <c r="AR342" s="249"/>
      <c r="AS342" s="249"/>
      <c r="AT342" s="249"/>
      <c r="AU342" s="249"/>
      <c r="AV342" s="249"/>
      <c r="AW342" s="249"/>
      <c r="AX342" s="249"/>
      <c r="AY342" s="249"/>
      <c r="AZ342" s="249"/>
      <c r="BA342" s="249"/>
      <c r="BB342" s="249"/>
      <c r="BC342" s="249"/>
      <c r="BD342" s="249"/>
      <c r="BE342" s="249"/>
      <c r="BF342" s="249"/>
      <c r="BG342" s="249"/>
      <c r="BH342" s="249"/>
      <c r="BI342" s="249"/>
      <c r="BJ342" s="249"/>
      <c r="BK342" s="249"/>
      <c r="BL342" s="249"/>
      <c r="BM342" s="249"/>
      <c r="BN342" s="249"/>
      <c r="BO342" s="249"/>
      <c r="BP342" s="249"/>
      <c r="BQ342" s="249"/>
      <c r="BR342" s="249"/>
      <c r="BS342" s="249"/>
      <c r="BT342" s="249"/>
      <c r="BU342" s="249"/>
      <c r="BV342" s="249"/>
      <c r="BW342" s="249"/>
      <c r="BX342" s="249"/>
      <c r="BY342" s="249"/>
      <c r="BZ342" s="249"/>
      <c r="CA342" s="249"/>
      <c r="CB342" s="249"/>
      <c r="CC342" s="249"/>
      <c r="CD342" s="249"/>
      <c r="CE342" s="249"/>
      <c r="CF342" s="249"/>
      <c r="CG342" s="249"/>
      <c r="CH342" s="249"/>
      <c r="CI342" s="249"/>
      <c r="CJ342" s="249"/>
      <c r="CK342" s="249"/>
      <c r="CL342" s="249"/>
      <c r="CM342" s="249"/>
      <c r="CN342" s="249"/>
      <c r="CO342" s="249"/>
      <c r="CP342" s="249"/>
      <c r="CQ342" s="249"/>
      <c r="CR342" s="249"/>
      <c r="CS342" s="249"/>
      <c r="CT342" s="249"/>
      <c r="CU342" s="249"/>
      <c r="CV342" s="249"/>
      <c r="CW342" s="249"/>
      <c r="CX342" s="249"/>
      <c r="CY342" s="249"/>
      <c r="CZ342" s="249"/>
      <c r="DA342" s="249"/>
      <c r="DB342" s="249"/>
      <c r="DC342" s="249"/>
      <c r="DD342" s="249"/>
      <c r="DE342" s="249"/>
      <c r="DF342" s="249"/>
      <c r="DG342" s="249"/>
      <c r="DH342" s="249"/>
      <c r="DI342" s="249"/>
      <c r="DJ342" s="249"/>
      <c r="DK342" s="249"/>
      <c r="DL342" s="249"/>
      <c r="DM342" s="249"/>
      <c r="DN342" s="249"/>
      <c r="DO342" s="249"/>
      <c r="DP342" s="249"/>
      <c r="DQ342" s="249"/>
      <c r="DR342" s="249"/>
      <c r="DS342" s="249"/>
      <c r="DT342" s="249"/>
    </row>
    <row r="343" spans="1:124" s="178" customFormat="1" hidden="1">
      <c r="A343" s="249"/>
      <c r="B343" s="249"/>
      <c r="C343" s="257" t="s">
        <v>261</v>
      </c>
      <c r="D343" s="254">
        <v>50</v>
      </c>
      <c r="E343" s="254">
        <v>34</v>
      </c>
      <c r="F343" s="254">
        <v>31</v>
      </c>
      <c r="G343" s="254">
        <v>28</v>
      </c>
      <c r="H343" s="254">
        <v>24</v>
      </c>
      <c r="I343" s="254">
        <v>22</v>
      </c>
      <c r="J343" s="254">
        <v>18</v>
      </c>
      <c r="K343" s="254">
        <v>16</v>
      </c>
      <c r="L343" s="254">
        <v>14</v>
      </c>
      <c r="M343" s="254">
        <v>12</v>
      </c>
      <c r="N343" s="254">
        <v>10</v>
      </c>
      <c r="O343" s="254">
        <v>8</v>
      </c>
      <c r="P343" s="254">
        <v>7</v>
      </c>
      <c r="Q343" s="254">
        <v>6</v>
      </c>
      <c r="R343" s="254">
        <v>5</v>
      </c>
      <c r="S343" s="254">
        <v>4</v>
      </c>
      <c r="T343" s="254">
        <v>3</v>
      </c>
      <c r="U343" s="254">
        <v>2</v>
      </c>
      <c r="V343" s="254">
        <v>1</v>
      </c>
      <c r="W343" s="254">
        <v>0.5</v>
      </c>
      <c r="X343" s="249"/>
      <c r="Y343" s="249"/>
      <c r="Z343" s="249"/>
      <c r="AA343" s="249"/>
      <c r="AB343" s="249"/>
      <c r="AC343" s="249"/>
      <c r="AD343" s="249"/>
      <c r="AE343" s="249"/>
      <c r="AF343" s="249"/>
      <c r="AG343" s="249"/>
      <c r="AH343" s="249"/>
      <c r="AI343" s="249"/>
      <c r="AJ343" s="249"/>
      <c r="AK343" s="249"/>
      <c r="AL343" s="249"/>
      <c r="AM343" s="249"/>
      <c r="AN343" s="249"/>
      <c r="AO343" s="249"/>
      <c r="AP343" s="249"/>
      <c r="AQ343" s="249"/>
      <c r="AR343" s="249"/>
      <c r="AS343" s="249"/>
      <c r="AT343" s="249"/>
      <c r="AU343" s="249"/>
      <c r="AV343" s="249"/>
      <c r="AW343" s="249"/>
      <c r="AX343" s="249"/>
      <c r="AY343" s="249"/>
      <c r="AZ343" s="249"/>
      <c r="BA343" s="249"/>
      <c r="BB343" s="249"/>
      <c r="BC343" s="249"/>
      <c r="BD343" s="249"/>
      <c r="BE343" s="249"/>
      <c r="BF343" s="249"/>
      <c r="BG343" s="249"/>
      <c r="BH343" s="249"/>
      <c r="BI343" s="249"/>
      <c r="BJ343" s="249"/>
      <c r="BK343" s="249"/>
      <c r="BL343" s="249"/>
      <c r="BM343" s="249"/>
      <c r="BN343" s="249"/>
      <c r="BO343" s="249"/>
      <c r="BP343" s="249"/>
      <c r="BQ343" s="249"/>
      <c r="BR343" s="249"/>
      <c r="BS343" s="249"/>
      <c r="BT343" s="249"/>
      <c r="BU343" s="249"/>
      <c r="BV343" s="249"/>
      <c r="BW343" s="249"/>
      <c r="BX343" s="249"/>
      <c r="BY343" s="249"/>
      <c r="BZ343" s="249"/>
      <c r="CA343" s="249"/>
      <c r="CB343" s="249"/>
      <c r="CC343" s="249"/>
      <c r="CD343" s="249"/>
      <c r="CE343" s="249"/>
      <c r="CF343" s="249"/>
      <c r="CG343" s="249"/>
      <c r="CH343" s="249"/>
      <c r="CI343" s="249"/>
      <c r="CJ343" s="249"/>
      <c r="CK343" s="249"/>
      <c r="CL343" s="249"/>
      <c r="CM343" s="249"/>
      <c r="CN343" s="249"/>
      <c r="CO343" s="249"/>
      <c r="CP343" s="249"/>
      <c r="CQ343" s="249"/>
      <c r="CR343" s="249"/>
      <c r="CS343" s="249"/>
      <c r="CT343" s="249"/>
      <c r="CU343" s="249"/>
      <c r="CV343" s="249"/>
      <c r="CW343" s="249"/>
      <c r="CX343" s="249"/>
      <c r="CY343" s="249"/>
      <c r="CZ343" s="249"/>
      <c r="DA343" s="249"/>
      <c r="DB343" s="249"/>
      <c r="DC343" s="249"/>
      <c r="DD343" s="249"/>
      <c r="DE343" s="249"/>
      <c r="DF343" s="249"/>
      <c r="DG343" s="249"/>
      <c r="DH343" s="249"/>
      <c r="DI343" s="249"/>
      <c r="DJ343" s="249"/>
      <c r="DK343" s="249"/>
      <c r="DL343" s="249"/>
      <c r="DM343" s="249"/>
      <c r="DN343" s="249"/>
      <c r="DO343" s="249"/>
      <c r="DP343" s="249"/>
      <c r="DQ343" s="249"/>
      <c r="DR343" s="249"/>
      <c r="DS343" s="249"/>
      <c r="DT343" s="249"/>
    </row>
    <row r="344" spans="1:124" s="178" customFormat="1" hidden="1">
      <c r="A344" s="249"/>
      <c r="B344" s="249"/>
      <c r="C344" s="257" t="s">
        <v>37</v>
      </c>
      <c r="D344" s="254">
        <v>1</v>
      </c>
      <c r="E344" s="254">
        <v>2</v>
      </c>
      <c r="F344" s="254">
        <v>3</v>
      </c>
      <c r="G344" s="254">
        <v>4</v>
      </c>
      <c r="H344" s="254">
        <v>5</v>
      </c>
      <c r="I344" s="254">
        <v>6</v>
      </c>
      <c r="J344" s="254">
        <v>7</v>
      </c>
      <c r="K344" s="254">
        <v>8</v>
      </c>
      <c r="L344" s="254">
        <v>9</v>
      </c>
      <c r="M344" s="254">
        <v>10</v>
      </c>
      <c r="N344" s="254">
        <v>11</v>
      </c>
      <c r="O344" s="254">
        <v>12</v>
      </c>
      <c r="P344" s="254">
        <v>13</v>
      </c>
      <c r="Q344" s="254">
        <v>14</v>
      </c>
      <c r="R344" s="254">
        <v>15</v>
      </c>
      <c r="S344" s="254">
        <v>16</v>
      </c>
      <c r="T344" s="254">
        <v>17</v>
      </c>
      <c r="U344" s="254">
        <v>18</v>
      </c>
      <c r="V344" s="254">
        <v>19</v>
      </c>
      <c r="W344" s="254"/>
      <c r="X344" s="249"/>
      <c r="Y344" s="249"/>
      <c r="Z344" s="249"/>
      <c r="AA344" s="249"/>
      <c r="AB344" s="249"/>
      <c r="AC344" s="249"/>
      <c r="AD344" s="249"/>
      <c r="AE344" s="249"/>
      <c r="AF344" s="249"/>
      <c r="AG344" s="249"/>
      <c r="AH344" s="249"/>
      <c r="AI344" s="249"/>
      <c r="AJ344" s="249"/>
      <c r="AK344" s="249"/>
      <c r="AL344" s="249"/>
      <c r="AM344" s="249"/>
      <c r="AN344" s="249"/>
      <c r="AO344" s="249"/>
      <c r="AP344" s="249"/>
      <c r="AQ344" s="249"/>
      <c r="AR344" s="249"/>
      <c r="AS344" s="249"/>
      <c r="AT344" s="249"/>
      <c r="AU344" s="249"/>
      <c r="AV344" s="249"/>
      <c r="AW344" s="249"/>
      <c r="AX344" s="249"/>
      <c r="AY344" s="249"/>
      <c r="AZ344" s="249"/>
      <c r="BA344" s="249"/>
      <c r="BB344" s="249"/>
      <c r="BC344" s="249"/>
      <c r="BD344" s="249"/>
      <c r="BE344" s="249"/>
      <c r="BF344" s="249"/>
      <c r="BG344" s="249"/>
      <c r="BH344" s="249"/>
      <c r="BI344" s="249"/>
      <c r="BJ344" s="249"/>
      <c r="BK344" s="249"/>
      <c r="BL344" s="249"/>
      <c r="BM344" s="249"/>
      <c r="BN344" s="249"/>
      <c r="BO344" s="249"/>
      <c r="BP344" s="249"/>
      <c r="BQ344" s="249"/>
      <c r="BR344" s="249"/>
      <c r="BS344" s="249"/>
      <c r="BT344" s="249"/>
      <c r="BU344" s="249"/>
      <c r="BV344" s="249"/>
      <c r="BW344" s="249"/>
      <c r="BX344" s="249"/>
      <c r="BY344" s="249"/>
      <c r="BZ344" s="249"/>
      <c r="CA344" s="249"/>
      <c r="CB344" s="249"/>
      <c r="CC344" s="249"/>
      <c r="CD344" s="249"/>
      <c r="CE344" s="249"/>
      <c r="CF344" s="249"/>
      <c r="CG344" s="249"/>
      <c r="CH344" s="249"/>
      <c r="CI344" s="249"/>
      <c r="CJ344" s="249"/>
      <c r="CK344" s="249"/>
      <c r="CL344" s="249"/>
      <c r="CM344" s="249"/>
      <c r="CN344" s="249"/>
      <c r="CO344" s="249"/>
      <c r="CP344" s="249"/>
      <c r="CQ344" s="249"/>
      <c r="CR344" s="249"/>
      <c r="CS344" s="249"/>
      <c r="CT344" s="249"/>
      <c r="CU344" s="249"/>
      <c r="CV344" s="249"/>
      <c r="CW344" s="249"/>
      <c r="CX344" s="249"/>
      <c r="CY344" s="249"/>
      <c r="CZ344" s="249"/>
      <c r="DA344" s="249"/>
      <c r="DB344" s="249"/>
      <c r="DC344" s="249"/>
      <c r="DD344" s="249"/>
      <c r="DE344" s="249"/>
      <c r="DF344" s="249"/>
      <c r="DG344" s="249"/>
      <c r="DH344" s="249"/>
      <c r="DI344" s="249"/>
      <c r="DJ344" s="249"/>
      <c r="DK344" s="249"/>
      <c r="DL344" s="249"/>
      <c r="DM344" s="249"/>
      <c r="DN344" s="249"/>
      <c r="DO344" s="249"/>
      <c r="DP344" s="249"/>
      <c r="DQ344" s="249"/>
      <c r="DR344" s="249"/>
      <c r="DS344" s="249"/>
      <c r="DT344" s="249"/>
    </row>
    <row r="345" spans="1:124" s="178" customFormat="1" hidden="1">
      <c r="A345" s="249"/>
      <c r="B345" s="249"/>
      <c r="C345" s="257" t="s">
        <v>261</v>
      </c>
      <c r="D345" s="254">
        <v>0.1</v>
      </c>
      <c r="E345" s="254">
        <v>0.4</v>
      </c>
      <c r="F345" s="254">
        <v>1</v>
      </c>
      <c r="G345" s="254">
        <v>2</v>
      </c>
      <c r="H345" s="254">
        <v>5</v>
      </c>
      <c r="I345" s="254">
        <v>9</v>
      </c>
      <c r="J345" s="254">
        <v>16</v>
      </c>
      <c r="K345" s="254">
        <v>25</v>
      </c>
      <c r="L345" s="254">
        <v>37</v>
      </c>
      <c r="M345" s="254">
        <v>50</v>
      </c>
      <c r="N345" s="254">
        <v>63</v>
      </c>
      <c r="O345" s="254">
        <v>75</v>
      </c>
      <c r="P345" s="254">
        <v>84</v>
      </c>
      <c r="Q345" s="254">
        <v>91</v>
      </c>
      <c r="R345" s="254">
        <v>95</v>
      </c>
      <c r="S345" s="254">
        <v>98</v>
      </c>
      <c r="T345" s="254">
        <v>99</v>
      </c>
      <c r="U345" s="254">
        <v>99.599999999999</v>
      </c>
      <c r="V345" s="254">
        <v>99.9</v>
      </c>
      <c r="W345" s="249"/>
      <c r="X345" s="249"/>
      <c r="Y345" s="249"/>
      <c r="Z345" s="249"/>
      <c r="AA345" s="249"/>
      <c r="AB345" s="249"/>
      <c r="AC345" s="249"/>
      <c r="AD345" s="249"/>
      <c r="AE345" s="249"/>
      <c r="AF345" s="249"/>
      <c r="AG345" s="249"/>
      <c r="AH345" s="249"/>
      <c r="AI345" s="249"/>
      <c r="AJ345" s="249"/>
      <c r="AK345" s="249"/>
      <c r="AL345" s="249"/>
      <c r="AM345" s="249"/>
      <c r="AN345" s="249"/>
      <c r="AO345" s="249"/>
      <c r="AP345" s="249"/>
      <c r="AQ345" s="249"/>
      <c r="AR345" s="249"/>
      <c r="AS345" s="249"/>
      <c r="AT345" s="249"/>
      <c r="AU345" s="249"/>
      <c r="AV345" s="249"/>
      <c r="AW345" s="249"/>
      <c r="AX345" s="249"/>
      <c r="AY345" s="249"/>
      <c r="AZ345" s="249"/>
      <c r="BA345" s="249"/>
      <c r="BB345" s="249"/>
      <c r="BC345" s="249"/>
      <c r="BD345" s="249"/>
      <c r="BE345" s="249"/>
      <c r="BF345" s="249"/>
      <c r="BG345" s="249"/>
      <c r="BH345" s="249"/>
      <c r="BI345" s="249"/>
      <c r="BJ345" s="249"/>
      <c r="BK345" s="249"/>
      <c r="BL345" s="249"/>
      <c r="BM345" s="249"/>
      <c r="BN345" s="249"/>
      <c r="BO345" s="249"/>
      <c r="BP345" s="249"/>
      <c r="BQ345" s="249"/>
      <c r="BR345" s="249"/>
      <c r="BS345" s="249"/>
      <c r="BT345" s="249"/>
      <c r="BU345" s="249"/>
      <c r="BV345" s="249"/>
      <c r="BW345" s="249"/>
      <c r="BX345" s="249"/>
      <c r="BY345" s="249"/>
      <c r="BZ345" s="249"/>
      <c r="CA345" s="249"/>
      <c r="CB345" s="249"/>
      <c r="CC345" s="249"/>
      <c r="CD345" s="249"/>
      <c r="CE345" s="249"/>
      <c r="CF345" s="249"/>
      <c r="CG345" s="249"/>
      <c r="CH345" s="249"/>
      <c r="CI345" s="249"/>
      <c r="CJ345" s="249"/>
      <c r="CK345" s="249"/>
      <c r="CL345" s="249"/>
      <c r="CM345" s="249"/>
      <c r="CN345" s="249"/>
      <c r="CO345" s="249"/>
      <c r="CP345" s="249"/>
      <c r="CQ345" s="249"/>
      <c r="CR345" s="249"/>
      <c r="CS345" s="249"/>
      <c r="CT345" s="249"/>
      <c r="CU345" s="249"/>
      <c r="CV345" s="249"/>
      <c r="CW345" s="249"/>
      <c r="CX345" s="249"/>
      <c r="CY345" s="249"/>
      <c r="CZ345" s="249"/>
      <c r="DA345" s="249"/>
      <c r="DB345" s="249"/>
      <c r="DC345" s="249"/>
      <c r="DD345" s="249"/>
      <c r="DE345" s="249"/>
      <c r="DF345" s="249"/>
      <c r="DG345" s="249"/>
      <c r="DH345" s="249"/>
      <c r="DI345" s="249"/>
      <c r="DJ345" s="249"/>
      <c r="DK345" s="249"/>
      <c r="DL345" s="249"/>
      <c r="DM345" s="249"/>
      <c r="DN345" s="249"/>
      <c r="DO345" s="249"/>
      <c r="DP345" s="249"/>
      <c r="DQ345" s="249"/>
      <c r="DR345" s="249"/>
      <c r="DS345" s="249"/>
      <c r="DT345" s="249"/>
    </row>
    <row r="346" spans="1:124" s="178" customFormat="1" hidden="1">
      <c r="A346" s="249"/>
      <c r="B346" s="249"/>
      <c r="C346" s="249"/>
      <c r="D346" s="249"/>
      <c r="E346" s="249"/>
      <c r="F346" s="249"/>
      <c r="G346" s="249"/>
      <c r="H346" s="249"/>
      <c r="I346" s="249"/>
      <c r="J346" s="249"/>
      <c r="K346" s="249"/>
      <c r="L346" s="249"/>
      <c r="M346" s="249"/>
      <c r="N346" s="249"/>
      <c r="O346" s="249"/>
      <c r="P346" s="249"/>
      <c r="Q346" s="249"/>
      <c r="R346" s="249"/>
      <c r="S346" s="249"/>
      <c r="T346" s="249"/>
      <c r="U346" s="249"/>
      <c r="V346" s="249"/>
      <c r="W346" s="249"/>
      <c r="X346" s="249"/>
      <c r="Y346" s="249"/>
      <c r="Z346" s="249"/>
      <c r="AA346" s="249"/>
      <c r="AB346" s="249"/>
      <c r="AC346" s="249"/>
      <c r="AD346" s="249"/>
      <c r="AE346" s="249"/>
      <c r="AF346" s="249"/>
      <c r="AG346" s="249"/>
      <c r="AH346" s="249"/>
      <c r="AI346" s="249"/>
      <c r="AJ346" s="249"/>
      <c r="AK346" s="249"/>
      <c r="AL346" s="249"/>
      <c r="AM346" s="249"/>
      <c r="AN346" s="249"/>
      <c r="AO346" s="249"/>
      <c r="AP346" s="249"/>
      <c r="AQ346" s="249"/>
      <c r="AR346" s="249"/>
      <c r="AS346" s="249"/>
      <c r="AT346" s="249"/>
      <c r="AU346" s="249"/>
      <c r="AV346" s="249"/>
      <c r="AW346" s="249"/>
      <c r="AX346" s="249"/>
      <c r="AY346" s="249"/>
      <c r="AZ346" s="249"/>
      <c r="BA346" s="249"/>
      <c r="BB346" s="249"/>
      <c r="BC346" s="249"/>
      <c r="BD346" s="249"/>
      <c r="BE346" s="249"/>
      <c r="BF346" s="249"/>
      <c r="BG346" s="249"/>
      <c r="BH346" s="249"/>
      <c r="BI346" s="249"/>
      <c r="BJ346" s="249"/>
      <c r="BK346" s="249"/>
      <c r="BL346" s="249"/>
      <c r="BM346" s="249"/>
      <c r="BN346" s="249"/>
      <c r="BO346" s="249"/>
      <c r="BP346" s="249"/>
      <c r="BQ346" s="249"/>
      <c r="BR346" s="249"/>
      <c r="BS346" s="249"/>
      <c r="BT346" s="249"/>
      <c r="BU346" s="249"/>
      <c r="BV346" s="249"/>
      <c r="BW346" s="249"/>
      <c r="BX346" s="249"/>
      <c r="BY346" s="249"/>
      <c r="BZ346" s="249"/>
      <c r="CA346" s="249"/>
      <c r="CB346" s="249"/>
      <c r="CC346" s="249"/>
      <c r="CD346" s="249"/>
      <c r="CE346" s="249"/>
      <c r="CF346" s="249"/>
      <c r="CG346" s="249"/>
      <c r="CH346" s="249"/>
      <c r="CI346" s="249"/>
      <c r="CJ346" s="249"/>
      <c r="CK346" s="249"/>
      <c r="CL346" s="249"/>
      <c r="CM346" s="249"/>
      <c r="CN346" s="249"/>
      <c r="CO346" s="249"/>
      <c r="CP346" s="249"/>
      <c r="CQ346" s="249"/>
      <c r="CR346" s="249"/>
      <c r="CS346" s="249"/>
      <c r="CT346" s="249"/>
      <c r="CU346" s="249"/>
      <c r="CV346" s="249"/>
      <c r="CW346" s="249"/>
      <c r="CX346" s="249"/>
      <c r="CY346" s="249"/>
      <c r="CZ346" s="249"/>
      <c r="DA346" s="249"/>
      <c r="DB346" s="249"/>
      <c r="DC346" s="249"/>
      <c r="DD346" s="249"/>
      <c r="DE346" s="249"/>
      <c r="DF346" s="249"/>
      <c r="DG346" s="249"/>
      <c r="DH346" s="249"/>
      <c r="DI346" s="249"/>
      <c r="DJ346" s="249"/>
      <c r="DK346" s="249"/>
      <c r="DL346" s="249"/>
      <c r="DM346" s="249"/>
      <c r="DN346" s="249"/>
      <c r="DO346" s="249"/>
      <c r="DP346" s="249"/>
      <c r="DQ346" s="249"/>
      <c r="DR346" s="249"/>
      <c r="DS346" s="249"/>
      <c r="DT346" s="249"/>
    </row>
    <row r="347" spans="1:124" s="178" customFormat="1" hidden="1">
      <c r="A347" s="249"/>
      <c r="B347" s="249"/>
      <c r="C347" s="249"/>
      <c r="D347" s="249"/>
      <c r="E347" s="249"/>
      <c r="F347" s="249"/>
      <c r="G347" s="249"/>
      <c r="H347" s="249"/>
      <c r="I347" s="249"/>
      <c r="J347" s="249"/>
      <c r="K347" s="249"/>
      <c r="L347" s="249"/>
      <c r="M347" s="249"/>
      <c r="N347" s="249"/>
      <c r="O347" s="249"/>
      <c r="P347" s="249"/>
      <c r="Q347" s="249"/>
      <c r="R347" s="249"/>
      <c r="S347" s="249"/>
      <c r="T347" s="249"/>
      <c r="U347" s="249"/>
      <c r="V347" s="249"/>
      <c r="W347" s="249"/>
      <c r="X347" s="249"/>
      <c r="Y347" s="249"/>
      <c r="Z347" s="249"/>
      <c r="AA347" s="249"/>
      <c r="AB347" s="249"/>
      <c r="AC347" s="249"/>
      <c r="AD347" s="249"/>
      <c r="AE347" s="249"/>
      <c r="AF347" s="249"/>
      <c r="AG347" s="249"/>
      <c r="AH347" s="249"/>
      <c r="AI347" s="249"/>
      <c r="AJ347" s="249"/>
      <c r="AK347" s="249"/>
      <c r="AL347" s="249"/>
      <c r="AM347" s="249"/>
      <c r="AN347" s="249"/>
      <c r="AO347" s="249"/>
      <c r="AP347" s="249"/>
      <c r="AQ347" s="249"/>
      <c r="AR347" s="249"/>
      <c r="AS347" s="249"/>
      <c r="AT347" s="249"/>
      <c r="AU347" s="249"/>
      <c r="AV347" s="249"/>
      <c r="AW347" s="249"/>
      <c r="AX347" s="249"/>
      <c r="AY347" s="249"/>
      <c r="AZ347" s="249"/>
      <c r="BA347" s="249"/>
      <c r="BB347" s="249"/>
      <c r="BC347" s="249"/>
      <c r="BD347" s="249"/>
      <c r="BE347" s="249"/>
      <c r="BF347" s="249"/>
      <c r="BG347" s="249"/>
      <c r="BH347" s="249"/>
      <c r="BI347" s="249"/>
      <c r="BJ347" s="249"/>
      <c r="BK347" s="249"/>
      <c r="BL347" s="249"/>
      <c r="BM347" s="249"/>
      <c r="BN347" s="249"/>
      <c r="BO347" s="249"/>
      <c r="BP347" s="249"/>
      <c r="BQ347" s="249"/>
      <c r="BR347" s="249"/>
      <c r="BS347" s="249"/>
      <c r="BT347" s="249"/>
      <c r="BU347" s="249"/>
      <c r="BV347" s="249"/>
      <c r="BW347" s="249"/>
      <c r="BX347" s="249"/>
      <c r="BY347" s="249"/>
      <c r="BZ347" s="249"/>
      <c r="CA347" s="249"/>
      <c r="CB347" s="249"/>
      <c r="CC347" s="249"/>
      <c r="CD347" s="249"/>
      <c r="CE347" s="249"/>
      <c r="CF347" s="249"/>
      <c r="CG347" s="249"/>
      <c r="CH347" s="249"/>
      <c r="CI347" s="249"/>
      <c r="CJ347" s="249"/>
      <c r="CK347" s="249"/>
      <c r="CL347" s="249"/>
      <c r="CM347" s="249"/>
      <c r="CN347" s="249"/>
      <c r="CO347" s="249"/>
      <c r="CP347" s="249"/>
      <c r="CQ347" s="249"/>
      <c r="CR347" s="249"/>
      <c r="CS347" s="249"/>
      <c r="CT347" s="249"/>
      <c r="CU347" s="249"/>
      <c r="CV347" s="249"/>
      <c r="CW347" s="249"/>
      <c r="CX347" s="249"/>
      <c r="CY347" s="249"/>
      <c r="CZ347" s="249"/>
      <c r="DA347" s="249"/>
      <c r="DB347" s="249"/>
      <c r="DC347" s="249"/>
      <c r="DD347" s="249"/>
      <c r="DE347" s="249"/>
      <c r="DF347" s="249"/>
      <c r="DG347" s="249"/>
      <c r="DH347" s="249"/>
      <c r="DI347" s="249"/>
      <c r="DJ347" s="249"/>
      <c r="DK347" s="249"/>
      <c r="DL347" s="249"/>
      <c r="DM347" s="249"/>
      <c r="DN347" s="249"/>
      <c r="DO347" s="249"/>
      <c r="DP347" s="249"/>
      <c r="DQ347" s="249"/>
      <c r="DR347" s="249"/>
      <c r="DS347" s="249"/>
      <c r="DT347" s="249"/>
    </row>
    <row r="348" spans="1:124" s="178" customFormat="1" hidden="1">
      <c r="A348" s="249"/>
      <c r="B348" s="249"/>
      <c r="C348" s="257" t="s">
        <v>261</v>
      </c>
      <c r="D348" s="254">
        <v>1</v>
      </c>
      <c r="E348" s="254">
        <v>1</v>
      </c>
      <c r="F348" s="254">
        <v>1</v>
      </c>
      <c r="G348" s="254">
        <v>1</v>
      </c>
      <c r="H348" s="254">
        <v>1</v>
      </c>
      <c r="I348" s="254">
        <v>1</v>
      </c>
      <c r="J348" s="254">
        <v>1</v>
      </c>
      <c r="K348" s="254">
        <v>1</v>
      </c>
      <c r="L348" s="254">
        <v>1</v>
      </c>
      <c r="M348" s="254">
        <v>1</v>
      </c>
      <c r="N348" s="254">
        <v>1</v>
      </c>
      <c r="O348" s="254">
        <v>1</v>
      </c>
      <c r="P348" s="254">
        <v>1</v>
      </c>
      <c r="Q348" s="254">
        <v>1</v>
      </c>
      <c r="R348" s="254">
        <v>1</v>
      </c>
      <c r="S348" s="254">
        <v>1</v>
      </c>
      <c r="T348" s="254">
        <v>1</v>
      </c>
      <c r="U348" s="254">
        <v>1</v>
      </c>
      <c r="V348" s="254">
        <v>2</v>
      </c>
      <c r="W348" s="254">
        <v>2</v>
      </c>
      <c r="X348" s="254">
        <v>2</v>
      </c>
      <c r="Y348" s="254">
        <v>2</v>
      </c>
      <c r="Z348" s="254">
        <v>4</v>
      </c>
      <c r="AA348" s="254">
        <v>4</v>
      </c>
      <c r="AB348" s="254">
        <v>5</v>
      </c>
      <c r="AC348" s="254">
        <v>6</v>
      </c>
      <c r="AD348" s="254">
        <v>7</v>
      </c>
      <c r="AE348" s="254">
        <v>8</v>
      </c>
      <c r="AF348" s="254">
        <v>9</v>
      </c>
      <c r="AG348" s="254">
        <v>10</v>
      </c>
      <c r="AH348" s="254">
        <v>12</v>
      </c>
      <c r="AI348" s="254">
        <v>12</v>
      </c>
      <c r="AJ348" s="254">
        <v>16</v>
      </c>
      <c r="AK348" s="254">
        <v>18</v>
      </c>
      <c r="AL348" s="254">
        <v>19</v>
      </c>
      <c r="AM348" s="254">
        <v>21</v>
      </c>
      <c r="AN348" s="254">
        <v>25</v>
      </c>
      <c r="AO348" s="254">
        <v>27</v>
      </c>
      <c r="AP348" s="254">
        <v>30</v>
      </c>
      <c r="AQ348" s="254">
        <v>34</v>
      </c>
      <c r="AR348" s="254">
        <v>37</v>
      </c>
      <c r="AS348" s="254">
        <v>40</v>
      </c>
      <c r="AT348" s="254">
        <v>42</v>
      </c>
      <c r="AU348" s="254">
        <v>45</v>
      </c>
      <c r="AV348" s="254">
        <v>50</v>
      </c>
      <c r="AW348" s="254">
        <v>53</v>
      </c>
      <c r="AX348" s="254">
        <v>55</v>
      </c>
      <c r="AY348" s="254">
        <v>58</v>
      </c>
      <c r="AZ348" s="254">
        <v>63</v>
      </c>
      <c r="BA348" s="254">
        <v>66</v>
      </c>
      <c r="BB348" s="254">
        <v>68</v>
      </c>
      <c r="BC348" s="254">
        <v>70</v>
      </c>
      <c r="BD348" s="254">
        <v>73</v>
      </c>
      <c r="BE348" s="254">
        <v>77</v>
      </c>
      <c r="BF348" s="254">
        <v>79</v>
      </c>
      <c r="BG348" s="254">
        <v>81</v>
      </c>
      <c r="BH348" s="254">
        <v>82</v>
      </c>
      <c r="BI348" s="254">
        <v>84</v>
      </c>
      <c r="BJ348" s="254">
        <v>87</v>
      </c>
      <c r="BK348" s="254">
        <v>66</v>
      </c>
      <c r="BL348" s="254">
        <v>90</v>
      </c>
      <c r="BM348" s="254">
        <v>91</v>
      </c>
      <c r="BN348" s="254">
        <v>93</v>
      </c>
      <c r="BO348" s="254">
        <v>94</v>
      </c>
      <c r="BP348" s="254">
        <v>95</v>
      </c>
      <c r="BQ348" s="254">
        <v>96</v>
      </c>
      <c r="BR348" s="254">
        <v>97</v>
      </c>
      <c r="BS348" s="254">
        <v>97</v>
      </c>
      <c r="BT348" s="254">
        <v>98</v>
      </c>
      <c r="BU348" s="254">
        <v>98</v>
      </c>
      <c r="BV348" s="254">
        <v>99</v>
      </c>
      <c r="BW348" s="254">
        <v>99</v>
      </c>
      <c r="BX348" s="254">
        <v>99</v>
      </c>
      <c r="BY348" s="254">
        <v>99</v>
      </c>
      <c r="BZ348" s="254">
        <v>99</v>
      </c>
      <c r="CA348" s="254">
        <v>99</v>
      </c>
      <c r="CB348" s="254">
        <v>99</v>
      </c>
      <c r="CC348" s="254">
        <v>99</v>
      </c>
      <c r="CD348" s="254">
        <v>99</v>
      </c>
      <c r="CE348" s="254">
        <v>99</v>
      </c>
      <c r="CF348" s="254">
        <v>99</v>
      </c>
      <c r="CG348" s="254">
        <v>99</v>
      </c>
      <c r="CH348" s="254">
        <v>99</v>
      </c>
      <c r="CI348" s="254">
        <v>99</v>
      </c>
      <c r="CJ348" s="254">
        <v>99</v>
      </c>
      <c r="CK348" s="254">
        <v>99</v>
      </c>
      <c r="CL348" s="254">
        <v>99</v>
      </c>
      <c r="CM348" s="254">
        <v>99</v>
      </c>
      <c r="CN348" s="254">
        <v>99</v>
      </c>
      <c r="CO348" s="249"/>
      <c r="CP348" s="249"/>
      <c r="CQ348" s="249"/>
      <c r="CR348" s="249"/>
      <c r="CS348" s="249"/>
      <c r="CT348" s="249"/>
      <c r="CU348" s="249"/>
      <c r="CV348" s="249"/>
      <c r="CW348" s="249"/>
      <c r="CX348" s="249"/>
      <c r="CY348" s="249"/>
      <c r="CZ348" s="249"/>
      <c r="DA348" s="249"/>
      <c r="DB348" s="249"/>
      <c r="DC348" s="249"/>
      <c r="DD348" s="249"/>
      <c r="DE348" s="249"/>
      <c r="DF348" s="249"/>
      <c r="DG348" s="249"/>
      <c r="DH348" s="249"/>
      <c r="DI348" s="249"/>
      <c r="DJ348" s="249"/>
      <c r="DK348" s="249"/>
      <c r="DL348" s="249"/>
      <c r="DM348" s="249"/>
      <c r="DN348" s="249"/>
      <c r="DO348" s="249"/>
      <c r="DP348" s="249"/>
      <c r="DQ348" s="249"/>
      <c r="DR348" s="249"/>
      <c r="DS348" s="249"/>
      <c r="DT348" s="249"/>
    </row>
    <row r="349" spans="1:124" s="178" customFormat="1" hidden="1">
      <c r="A349" s="249"/>
      <c r="B349" s="249"/>
      <c r="C349" s="257" t="s">
        <v>262</v>
      </c>
      <c r="D349" s="254">
        <v>9</v>
      </c>
      <c r="E349" s="254">
        <v>10</v>
      </c>
      <c r="F349" s="254">
        <v>11</v>
      </c>
      <c r="G349" s="254">
        <v>12</v>
      </c>
      <c r="H349" s="254">
        <v>13</v>
      </c>
      <c r="I349" s="254">
        <v>14</v>
      </c>
      <c r="J349" s="254">
        <v>15</v>
      </c>
      <c r="K349" s="254">
        <v>16</v>
      </c>
      <c r="L349" s="254">
        <v>17</v>
      </c>
      <c r="M349" s="254">
        <v>18</v>
      </c>
      <c r="N349" s="254">
        <v>19</v>
      </c>
      <c r="O349" s="254">
        <v>20</v>
      </c>
      <c r="P349" s="254">
        <v>21</v>
      </c>
      <c r="Q349" s="254">
        <v>22</v>
      </c>
      <c r="R349" s="254">
        <v>23</v>
      </c>
      <c r="S349" s="254">
        <v>24</v>
      </c>
      <c r="T349" s="254">
        <v>25</v>
      </c>
      <c r="U349" s="254">
        <v>26</v>
      </c>
      <c r="V349" s="254">
        <v>27</v>
      </c>
      <c r="W349" s="254">
        <v>28</v>
      </c>
      <c r="X349" s="254">
        <v>29</v>
      </c>
      <c r="Y349" s="254">
        <v>30</v>
      </c>
      <c r="Z349" s="254">
        <v>31</v>
      </c>
      <c r="AA349" s="254">
        <v>32</v>
      </c>
      <c r="AB349" s="254">
        <v>33</v>
      </c>
      <c r="AC349" s="254">
        <v>34</v>
      </c>
      <c r="AD349" s="254">
        <v>35</v>
      </c>
      <c r="AE349" s="254">
        <v>36</v>
      </c>
      <c r="AF349" s="254">
        <v>37</v>
      </c>
      <c r="AG349" s="254">
        <v>38</v>
      </c>
      <c r="AH349" s="254">
        <v>39</v>
      </c>
      <c r="AI349" s="254">
        <v>40</v>
      </c>
      <c r="AJ349" s="254">
        <v>41</v>
      </c>
      <c r="AK349" s="254">
        <v>42</v>
      </c>
      <c r="AL349" s="254">
        <v>43</v>
      </c>
      <c r="AM349" s="254">
        <v>44</v>
      </c>
      <c r="AN349" s="254">
        <v>45</v>
      </c>
      <c r="AO349" s="254">
        <v>46</v>
      </c>
      <c r="AP349" s="254">
        <v>47</v>
      </c>
      <c r="AQ349" s="254">
        <v>48</v>
      </c>
      <c r="AR349" s="254">
        <v>49</v>
      </c>
      <c r="AS349" s="254">
        <v>50</v>
      </c>
      <c r="AT349" s="254">
        <v>51</v>
      </c>
      <c r="AU349" s="254">
        <v>52</v>
      </c>
      <c r="AV349" s="254">
        <v>53</v>
      </c>
      <c r="AW349" s="254">
        <v>54</v>
      </c>
      <c r="AX349" s="254">
        <v>55</v>
      </c>
      <c r="AY349" s="254">
        <v>56</v>
      </c>
      <c r="AZ349" s="254">
        <v>57</v>
      </c>
      <c r="BA349" s="254">
        <v>58</v>
      </c>
      <c r="BB349" s="254">
        <v>59</v>
      </c>
      <c r="BC349" s="254">
        <v>60</v>
      </c>
      <c r="BD349" s="254">
        <v>61</v>
      </c>
      <c r="BE349" s="254">
        <v>62</v>
      </c>
      <c r="BF349" s="254">
        <v>63</v>
      </c>
      <c r="BG349" s="254">
        <v>64</v>
      </c>
      <c r="BH349" s="254">
        <v>65</v>
      </c>
      <c r="BI349" s="254">
        <v>66</v>
      </c>
      <c r="BJ349" s="254">
        <v>67</v>
      </c>
      <c r="BK349" s="254">
        <v>68</v>
      </c>
      <c r="BL349" s="254">
        <v>69</v>
      </c>
      <c r="BM349" s="254">
        <v>70</v>
      </c>
      <c r="BN349" s="254">
        <v>71</v>
      </c>
      <c r="BO349" s="254">
        <v>72</v>
      </c>
      <c r="BP349" s="254">
        <v>73</v>
      </c>
      <c r="BQ349" s="254">
        <v>74</v>
      </c>
      <c r="BR349" s="254">
        <v>75</v>
      </c>
      <c r="BS349" s="254">
        <v>76</v>
      </c>
      <c r="BT349" s="254">
        <v>77</v>
      </c>
      <c r="BU349" s="254">
        <v>78</v>
      </c>
      <c r="BV349" s="254">
        <v>79</v>
      </c>
      <c r="BW349" s="254">
        <v>80</v>
      </c>
      <c r="BX349" s="254">
        <v>81</v>
      </c>
      <c r="BY349" s="254">
        <v>82</v>
      </c>
      <c r="BZ349" s="254">
        <v>83</v>
      </c>
      <c r="CA349" s="254">
        <v>84</v>
      </c>
      <c r="CB349" s="254">
        <v>85</v>
      </c>
      <c r="CC349" s="254">
        <v>86</v>
      </c>
      <c r="CD349" s="254">
        <v>87</v>
      </c>
      <c r="CE349" s="254">
        <v>88</v>
      </c>
      <c r="CF349" s="254">
        <v>89</v>
      </c>
      <c r="CG349" s="254">
        <v>90</v>
      </c>
      <c r="CH349" s="249"/>
      <c r="CI349" s="249"/>
      <c r="CJ349" s="249"/>
      <c r="CK349" s="249"/>
      <c r="CL349" s="249"/>
      <c r="CM349" s="249"/>
      <c r="CN349" s="249"/>
      <c r="CO349" s="249"/>
      <c r="CP349" s="249"/>
      <c r="CQ349" s="249"/>
      <c r="CR349" s="249"/>
      <c r="CS349" s="249"/>
      <c r="CT349" s="249"/>
      <c r="CU349" s="249"/>
      <c r="CV349" s="249"/>
      <c r="CW349" s="249"/>
      <c r="CX349" s="249"/>
      <c r="CY349" s="249"/>
      <c r="CZ349" s="249"/>
      <c r="DA349" s="249"/>
      <c r="DB349" s="249"/>
      <c r="DC349" s="249"/>
      <c r="DD349" s="249"/>
      <c r="DE349" s="249"/>
      <c r="DF349" s="249"/>
      <c r="DG349" s="249"/>
      <c r="DH349" s="249"/>
      <c r="DI349" s="249"/>
      <c r="DJ349" s="249"/>
      <c r="DK349" s="249"/>
      <c r="DL349" s="249"/>
      <c r="DM349" s="249"/>
      <c r="DN349" s="249"/>
      <c r="DO349" s="249"/>
      <c r="DP349" s="249"/>
      <c r="DQ349" s="249"/>
      <c r="DR349" s="249"/>
      <c r="DS349" s="249"/>
      <c r="DT349" s="249"/>
    </row>
    <row r="350" spans="1:124" s="178" customFormat="1" hidden="1">
      <c r="A350" s="249"/>
      <c r="B350" s="249"/>
      <c r="C350" s="257" t="s">
        <v>14</v>
      </c>
      <c r="D350" s="254">
        <v>45</v>
      </c>
      <c r="E350" s="254">
        <v>46</v>
      </c>
      <c r="F350" s="254">
        <v>48</v>
      </c>
      <c r="G350" s="254">
        <v>49</v>
      </c>
      <c r="H350" s="254">
        <v>51</v>
      </c>
      <c r="I350" s="254">
        <v>52</v>
      </c>
      <c r="J350" s="254">
        <v>54</v>
      </c>
      <c r="K350" s="254">
        <v>55</v>
      </c>
      <c r="L350" s="254">
        <v>57</v>
      </c>
      <c r="M350" s="254">
        <v>58</v>
      </c>
      <c r="N350" s="254">
        <v>60</v>
      </c>
      <c r="O350" s="254">
        <v>61</v>
      </c>
      <c r="P350" s="254">
        <v>63</v>
      </c>
      <c r="Q350" s="254">
        <v>64</v>
      </c>
      <c r="R350" s="254">
        <v>65</v>
      </c>
      <c r="S350" s="254">
        <v>67</v>
      </c>
      <c r="T350" s="254">
        <v>68</v>
      </c>
      <c r="U350" s="254">
        <v>69</v>
      </c>
      <c r="V350" s="254">
        <v>70</v>
      </c>
      <c r="W350" s="254">
        <v>71</v>
      </c>
      <c r="X350" s="254">
        <v>72</v>
      </c>
      <c r="Y350" s="254">
        <v>73</v>
      </c>
      <c r="Z350" s="254">
        <v>74</v>
      </c>
      <c r="AA350" s="254">
        <v>75</v>
      </c>
      <c r="AB350" s="254">
        <v>77</v>
      </c>
      <c r="AC350" s="254">
        <v>78</v>
      </c>
      <c r="AD350" s="254">
        <v>80</v>
      </c>
      <c r="AE350" s="254">
        <v>81</v>
      </c>
      <c r="AF350" s="254">
        <v>82</v>
      </c>
      <c r="AG350" s="254">
        <v>84</v>
      </c>
      <c r="AH350" s="254">
        <v>85</v>
      </c>
      <c r="AI350" s="254">
        <v>86</v>
      </c>
      <c r="AJ350" s="254">
        <v>87</v>
      </c>
      <c r="AK350" s="254">
        <v>88</v>
      </c>
      <c r="AL350" s="254">
        <v>90</v>
      </c>
      <c r="AM350" s="254">
        <v>91</v>
      </c>
      <c r="AN350" s="254">
        <v>92</v>
      </c>
      <c r="AO350" s="254">
        <v>93</v>
      </c>
      <c r="AP350" s="254">
        <v>95</v>
      </c>
      <c r="AQ350" s="254">
        <v>96</v>
      </c>
      <c r="AR350" s="254">
        <v>98</v>
      </c>
      <c r="AS350" s="254">
        <v>100</v>
      </c>
      <c r="AT350" s="254">
        <v>101</v>
      </c>
      <c r="AU350" s="254">
        <v>102</v>
      </c>
      <c r="AV350" s="254">
        <v>104</v>
      </c>
      <c r="AW350" s="254">
        <v>105</v>
      </c>
      <c r="AX350" s="254">
        <v>106</v>
      </c>
      <c r="AY350" s="254">
        <v>108</v>
      </c>
      <c r="AZ350" s="254">
        <v>109</v>
      </c>
      <c r="BA350" s="254">
        <v>111</v>
      </c>
      <c r="BB350" s="254">
        <v>112</v>
      </c>
      <c r="BC350" s="254">
        <v>114</v>
      </c>
      <c r="BD350" s="254">
        <v>115</v>
      </c>
      <c r="BE350" s="254">
        <v>117</v>
      </c>
      <c r="BF350" s="254">
        <v>118</v>
      </c>
      <c r="BG350" s="254">
        <v>120</v>
      </c>
      <c r="BH350" s="254">
        <v>121</v>
      </c>
      <c r="BI350" s="254">
        <v>123</v>
      </c>
      <c r="BJ350" s="254">
        <v>124</v>
      </c>
      <c r="BK350" s="254">
        <v>126</v>
      </c>
      <c r="BL350" s="254">
        <v>128</v>
      </c>
      <c r="BM350" s="254">
        <v>129</v>
      </c>
      <c r="BN350" s="254">
        <v>130</v>
      </c>
      <c r="BO350" s="254">
        <v>131</v>
      </c>
      <c r="BP350" s="254">
        <v>132</v>
      </c>
      <c r="BQ350" s="254">
        <v>133</v>
      </c>
      <c r="BR350" s="254">
        <v>135</v>
      </c>
      <c r="BS350" s="254">
        <v>136</v>
      </c>
      <c r="BT350" s="254">
        <v>138</v>
      </c>
      <c r="BU350" s="254">
        <v>139</v>
      </c>
      <c r="BV350" s="254">
        <v>141</v>
      </c>
      <c r="BW350" s="254">
        <v>142</v>
      </c>
      <c r="BX350" s="254">
        <v>143</v>
      </c>
      <c r="BY350" s="254">
        <v>145</v>
      </c>
      <c r="BZ350" s="254">
        <v>146</v>
      </c>
      <c r="CA350" s="254">
        <v>147</v>
      </c>
      <c r="CB350" s="254">
        <v>149</v>
      </c>
      <c r="CC350" s="254">
        <v>150</v>
      </c>
      <c r="CD350" s="254">
        <v>151</v>
      </c>
      <c r="CE350" s="254">
        <v>152</v>
      </c>
      <c r="CF350" s="254">
        <v>154</v>
      </c>
      <c r="CG350" s="254">
        <v>155</v>
      </c>
      <c r="CH350" s="249"/>
      <c r="CI350" s="249"/>
      <c r="CJ350" s="249"/>
      <c r="CK350" s="249"/>
      <c r="CL350" s="249"/>
      <c r="CM350" s="249"/>
      <c r="CN350" s="249"/>
      <c r="CO350" s="249"/>
      <c r="CP350" s="249"/>
      <c r="CQ350" s="249"/>
      <c r="CR350" s="249"/>
      <c r="CS350" s="249"/>
      <c r="CT350" s="249"/>
      <c r="CU350" s="249"/>
      <c r="CV350" s="249"/>
      <c r="CW350" s="249"/>
      <c r="CX350" s="249"/>
      <c r="CY350" s="249"/>
      <c r="CZ350" s="249"/>
      <c r="DA350" s="249"/>
      <c r="DB350" s="249"/>
      <c r="DC350" s="249"/>
      <c r="DD350" s="249"/>
      <c r="DE350" s="249"/>
      <c r="DF350" s="249"/>
      <c r="DG350" s="249"/>
      <c r="DH350" s="249"/>
      <c r="DI350" s="249"/>
      <c r="DJ350" s="249"/>
      <c r="DK350" s="249"/>
      <c r="DL350" s="249"/>
      <c r="DM350" s="249"/>
      <c r="DN350" s="249"/>
      <c r="DO350" s="249"/>
      <c r="DP350" s="249"/>
      <c r="DQ350" s="249"/>
      <c r="DR350" s="249"/>
      <c r="DS350" s="249"/>
      <c r="DT350" s="249"/>
    </row>
    <row r="351" spans="1:124" s="178" customFormat="1" hidden="1">
      <c r="A351" s="249"/>
      <c r="B351" s="249"/>
      <c r="C351" s="257" t="s">
        <v>261</v>
      </c>
      <c r="D351" s="254">
        <v>1</v>
      </c>
      <c r="E351" s="254">
        <v>1</v>
      </c>
      <c r="F351" s="254">
        <v>1</v>
      </c>
      <c r="G351" s="254">
        <v>1</v>
      </c>
      <c r="H351" s="254">
        <v>1</v>
      </c>
      <c r="I351" s="254">
        <v>1</v>
      </c>
      <c r="J351" s="254">
        <v>1</v>
      </c>
      <c r="K351" s="254">
        <v>1</v>
      </c>
      <c r="L351" s="254">
        <v>1</v>
      </c>
      <c r="M351" s="254">
        <v>1</v>
      </c>
      <c r="N351" s="254">
        <v>1</v>
      </c>
      <c r="O351" s="254">
        <v>1</v>
      </c>
      <c r="P351" s="254">
        <v>1</v>
      </c>
      <c r="Q351" s="254">
        <v>1</v>
      </c>
      <c r="R351" s="254">
        <v>1</v>
      </c>
      <c r="S351" s="254">
        <v>1</v>
      </c>
      <c r="T351" s="254">
        <v>2</v>
      </c>
      <c r="U351" s="254">
        <v>2</v>
      </c>
      <c r="V351" s="254">
        <v>2</v>
      </c>
      <c r="W351" s="254">
        <v>3</v>
      </c>
      <c r="X351" s="254">
        <v>3</v>
      </c>
      <c r="Y351" s="254">
        <v>4</v>
      </c>
      <c r="Z351" s="254">
        <v>5</v>
      </c>
      <c r="AA351" s="254">
        <v>5</v>
      </c>
      <c r="AB351" s="254">
        <v>6</v>
      </c>
      <c r="AC351" s="254">
        <v>7</v>
      </c>
      <c r="AD351" s="254">
        <v>9</v>
      </c>
      <c r="AE351" s="254">
        <v>10</v>
      </c>
      <c r="AF351" s="254">
        <v>12</v>
      </c>
      <c r="AG351" s="254">
        <v>14</v>
      </c>
      <c r="AH351" s="254">
        <v>16</v>
      </c>
      <c r="AI351" s="254">
        <v>18</v>
      </c>
      <c r="AJ351" s="254">
        <v>19</v>
      </c>
      <c r="AK351" s="254">
        <v>21</v>
      </c>
      <c r="AL351" s="254">
        <v>25</v>
      </c>
      <c r="AM351" s="254">
        <v>27</v>
      </c>
      <c r="AN351" s="254">
        <v>30</v>
      </c>
      <c r="AO351" s="254">
        <v>32</v>
      </c>
      <c r="AP351" s="254">
        <v>36</v>
      </c>
      <c r="AQ351" s="254">
        <v>40</v>
      </c>
      <c r="AR351" s="254">
        <v>45</v>
      </c>
      <c r="AS351" s="254">
        <v>50</v>
      </c>
      <c r="AT351" s="254">
        <v>53</v>
      </c>
      <c r="AU351" s="254">
        <v>55</v>
      </c>
      <c r="AV351" s="254">
        <v>61</v>
      </c>
      <c r="AW351" s="254">
        <v>63</v>
      </c>
      <c r="AX351" s="254">
        <v>66</v>
      </c>
      <c r="AY351" s="254">
        <v>70</v>
      </c>
      <c r="AZ351" s="254">
        <v>73</v>
      </c>
      <c r="BA351" s="254">
        <v>77</v>
      </c>
      <c r="BB351" s="254">
        <v>79</v>
      </c>
      <c r="BC351" s="254">
        <v>82</v>
      </c>
      <c r="BD351" s="254">
        <v>84</v>
      </c>
      <c r="BE351" s="254">
        <v>87</v>
      </c>
      <c r="BF351" s="254">
        <v>88</v>
      </c>
      <c r="BG351" s="254">
        <v>91</v>
      </c>
      <c r="BH351" s="254">
        <v>92</v>
      </c>
      <c r="BI351" s="254">
        <v>94</v>
      </c>
      <c r="BJ351" s="254">
        <v>95</v>
      </c>
      <c r="BK351" s="254">
        <v>96</v>
      </c>
      <c r="BL351" s="254">
        <v>97</v>
      </c>
      <c r="BM351" s="254">
        <v>97</v>
      </c>
      <c r="BN351" s="254">
        <v>98</v>
      </c>
      <c r="BO351" s="254">
        <v>98</v>
      </c>
      <c r="BP351" s="254">
        <v>98</v>
      </c>
      <c r="BQ351" s="254">
        <v>99</v>
      </c>
      <c r="BR351" s="254">
        <v>99</v>
      </c>
      <c r="BS351" s="254">
        <v>99</v>
      </c>
      <c r="BT351" s="254">
        <v>99</v>
      </c>
      <c r="BU351" s="254">
        <v>99</v>
      </c>
      <c r="BV351" s="254">
        <v>99</v>
      </c>
      <c r="BW351" s="254">
        <v>99</v>
      </c>
      <c r="BX351" s="254">
        <v>99</v>
      </c>
      <c r="BY351" s="254">
        <v>99</v>
      </c>
      <c r="BZ351" s="254">
        <v>99</v>
      </c>
      <c r="CA351" s="254">
        <v>99</v>
      </c>
      <c r="CB351" s="254">
        <v>99</v>
      </c>
      <c r="CC351" s="254">
        <v>99</v>
      </c>
      <c r="CD351" s="254">
        <v>99</v>
      </c>
      <c r="CE351" s="254">
        <v>99</v>
      </c>
      <c r="CF351" s="254">
        <v>99</v>
      </c>
      <c r="CG351" s="254">
        <v>99</v>
      </c>
      <c r="CH351" s="249"/>
      <c r="CI351" s="249"/>
      <c r="CJ351" s="249"/>
      <c r="CK351" s="249"/>
      <c r="CL351" s="249"/>
      <c r="CM351" s="249"/>
      <c r="CN351" s="249"/>
      <c r="CO351" s="249"/>
      <c r="CP351" s="249"/>
      <c r="CQ351" s="249"/>
      <c r="CR351" s="249"/>
      <c r="CS351" s="249"/>
      <c r="CT351" s="249"/>
      <c r="CU351" s="249"/>
      <c r="CV351" s="249"/>
      <c r="CW351" s="249"/>
      <c r="CX351" s="249"/>
      <c r="CY351" s="249"/>
      <c r="CZ351" s="249"/>
      <c r="DA351" s="249"/>
      <c r="DB351" s="249"/>
      <c r="DC351" s="249"/>
      <c r="DD351" s="249"/>
      <c r="DE351" s="249"/>
      <c r="DF351" s="249"/>
      <c r="DG351" s="249"/>
      <c r="DH351" s="249"/>
      <c r="DI351" s="249"/>
      <c r="DJ351" s="249"/>
      <c r="DK351" s="249"/>
      <c r="DL351" s="249"/>
      <c r="DM351" s="249"/>
      <c r="DN351" s="249"/>
      <c r="DO351" s="249"/>
      <c r="DP351" s="249"/>
      <c r="DQ351" s="249"/>
      <c r="DR351" s="249"/>
      <c r="DS351" s="249"/>
      <c r="DT351" s="249"/>
    </row>
    <row r="352" spans="1:124" s="178" customFormat="1" hidden="1">
      <c r="A352" s="249"/>
      <c r="B352" s="249"/>
      <c r="C352" s="257" t="s">
        <v>263</v>
      </c>
      <c r="D352" s="254">
        <v>15</v>
      </c>
      <c r="E352" s="254">
        <v>16</v>
      </c>
      <c r="F352" s="254">
        <v>18</v>
      </c>
      <c r="G352" s="254">
        <v>19</v>
      </c>
      <c r="H352" s="254">
        <v>20</v>
      </c>
      <c r="I352" s="254">
        <v>22</v>
      </c>
      <c r="J352" s="254">
        <v>23</v>
      </c>
      <c r="K352" s="254">
        <v>24</v>
      </c>
      <c r="L352" s="254">
        <v>26</v>
      </c>
      <c r="M352" s="254">
        <v>27</v>
      </c>
      <c r="N352" s="254">
        <v>28</v>
      </c>
      <c r="O352" s="254">
        <v>30</v>
      </c>
      <c r="P352" s="254">
        <v>31</v>
      </c>
      <c r="Q352" s="254">
        <v>33</v>
      </c>
      <c r="R352" s="254">
        <v>34</v>
      </c>
      <c r="S352" s="254">
        <v>35</v>
      </c>
      <c r="T352" s="254">
        <v>37</v>
      </c>
      <c r="U352" s="254">
        <v>38</v>
      </c>
      <c r="V352" s="254">
        <v>39</v>
      </c>
      <c r="W352" s="254">
        <v>40</v>
      </c>
      <c r="X352" s="254">
        <v>42</v>
      </c>
      <c r="Y352" s="254">
        <v>43</v>
      </c>
      <c r="Z352" s="254">
        <v>44</v>
      </c>
      <c r="AA352" s="254">
        <v>45</v>
      </c>
      <c r="AB352" s="254">
        <v>46</v>
      </c>
      <c r="AC352" s="254">
        <v>48</v>
      </c>
      <c r="AD352" s="254">
        <v>49</v>
      </c>
      <c r="AE352" s="254">
        <v>50</v>
      </c>
      <c r="AF352" s="254">
        <v>51</v>
      </c>
      <c r="AG352" s="254">
        <v>53</v>
      </c>
      <c r="AH352" s="254">
        <v>55</v>
      </c>
      <c r="AI352" s="254">
        <v>57</v>
      </c>
      <c r="AJ352" s="254">
        <v>59</v>
      </c>
      <c r="AK352" s="254">
        <v>61</v>
      </c>
      <c r="AL352" s="254">
        <v>62</v>
      </c>
      <c r="AM352" s="254">
        <v>64</v>
      </c>
      <c r="AN352" s="254">
        <v>65</v>
      </c>
      <c r="AO352" s="254">
        <v>67</v>
      </c>
      <c r="AP352" s="254">
        <v>68</v>
      </c>
      <c r="AQ352" s="254">
        <v>70</v>
      </c>
      <c r="AR352" s="254">
        <v>71</v>
      </c>
      <c r="AS352" s="254">
        <v>73</v>
      </c>
      <c r="AT352" s="254">
        <v>75</v>
      </c>
      <c r="AU352" s="254">
        <v>76</v>
      </c>
      <c r="AV352" s="254">
        <v>77</v>
      </c>
      <c r="AW352" s="254">
        <v>79</v>
      </c>
      <c r="AX352" s="254">
        <v>81</v>
      </c>
      <c r="AY352" s="254">
        <v>82</v>
      </c>
      <c r="AZ352" s="254">
        <v>84</v>
      </c>
      <c r="BA352" s="254">
        <v>85</v>
      </c>
      <c r="BB352" s="254">
        <v>87</v>
      </c>
      <c r="BC352" s="254">
        <v>88</v>
      </c>
      <c r="BD352" s="254">
        <v>90</v>
      </c>
      <c r="BE352" s="254">
        <v>92</v>
      </c>
      <c r="BF352" s="254">
        <v>93</v>
      </c>
      <c r="BG352" s="254">
        <v>94</v>
      </c>
      <c r="BH352" s="254">
        <v>95</v>
      </c>
      <c r="BI352" s="254">
        <v>97</v>
      </c>
      <c r="BJ352" s="254">
        <v>98</v>
      </c>
      <c r="BK352" s="254">
        <v>99</v>
      </c>
      <c r="BL352" s="254">
        <v>100</v>
      </c>
      <c r="BM352" s="254">
        <v>102</v>
      </c>
      <c r="BN352" s="254">
        <v>104</v>
      </c>
      <c r="BO352" s="254">
        <v>106</v>
      </c>
      <c r="BP352" s="254">
        <v>107</v>
      </c>
      <c r="BQ352" s="254">
        <v>108</v>
      </c>
      <c r="BR352" s="254">
        <v>110</v>
      </c>
      <c r="BS352" s="254">
        <v>111</v>
      </c>
      <c r="BT352" s="254">
        <v>112</v>
      </c>
      <c r="BU352" s="254">
        <v>113</v>
      </c>
      <c r="BV352" s="254">
        <v>115</v>
      </c>
      <c r="BW352" s="254">
        <v>116</v>
      </c>
      <c r="BX352" s="254">
        <v>117</v>
      </c>
      <c r="BY352" s="254">
        <v>119</v>
      </c>
      <c r="BZ352" s="254">
        <v>120</v>
      </c>
      <c r="CA352" s="254">
        <v>121</v>
      </c>
      <c r="CB352" s="254">
        <v>122</v>
      </c>
      <c r="CC352" s="254">
        <v>123</v>
      </c>
      <c r="CD352" s="254">
        <v>124</v>
      </c>
      <c r="CE352" s="254">
        <v>126</v>
      </c>
      <c r="CF352" s="254">
        <v>127</v>
      </c>
      <c r="CG352" s="254">
        <v>128</v>
      </c>
      <c r="CH352" s="254">
        <v>130</v>
      </c>
      <c r="CI352" s="254">
        <v>131</v>
      </c>
      <c r="CJ352" s="254">
        <v>133</v>
      </c>
      <c r="CK352" s="254">
        <v>134</v>
      </c>
      <c r="CL352" s="254">
        <v>135</v>
      </c>
      <c r="CM352" s="254">
        <v>137</v>
      </c>
      <c r="CN352" s="254">
        <v>138</v>
      </c>
      <c r="CO352" s="254">
        <v>140</v>
      </c>
      <c r="CP352" s="254">
        <v>141</v>
      </c>
      <c r="CQ352" s="254">
        <v>142</v>
      </c>
      <c r="CR352" s="254">
        <v>143</v>
      </c>
      <c r="CS352" s="254">
        <v>144</v>
      </c>
      <c r="CT352" s="254">
        <v>146</v>
      </c>
      <c r="CU352" s="254">
        <v>147</v>
      </c>
      <c r="CV352" s="254">
        <v>148</v>
      </c>
      <c r="CW352" s="254">
        <v>149</v>
      </c>
      <c r="CX352" s="254">
        <v>150</v>
      </c>
      <c r="CY352" s="254">
        <v>151</v>
      </c>
      <c r="CZ352" s="254">
        <v>153</v>
      </c>
      <c r="DA352" s="254">
        <v>154</v>
      </c>
      <c r="DB352" s="254">
        <v>156</v>
      </c>
      <c r="DC352" s="254">
        <v>158</v>
      </c>
      <c r="DD352" s="254">
        <v>159</v>
      </c>
      <c r="DE352" s="254">
        <v>161</v>
      </c>
      <c r="DF352" s="254">
        <v>163</v>
      </c>
      <c r="DG352" s="254">
        <v>164</v>
      </c>
      <c r="DH352" s="254">
        <v>166</v>
      </c>
      <c r="DI352" s="254">
        <v>167</v>
      </c>
      <c r="DJ352" s="254">
        <v>168</v>
      </c>
      <c r="DK352" s="254">
        <v>170</v>
      </c>
      <c r="DL352" s="254">
        <v>171</v>
      </c>
      <c r="DM352" s="254">
        <v>173</v>
      </c>
      <c r="DN352" s="254">
        <v>174</v>
      </c>
      <c r="DO352" s="254">
        <v>176</v>
      </c>
      <c r="DP352" s="254">
        <v>177</v>
      </c>
      <c r="DQ352" s="254">
        <v>179</v>
      </c>
      <c r="DR352" s="254">
        <v>181</v>
      </c>
      <c r="DS352" s="254">
        <v>182</v>
      </c>
      <c r="DT352" s="254">
        <v>184</v>
      </c>
    </row>
    <row r="353" spans="3:124" s="178" customFormat="1" hidden="1">
      <c r="C353" s="257" t="s">
        <v>264</v>
      </c>
      <c r="D353" s="254">
        <v>40</v>
      </c>
      <c r="E353" s="254">
        <v>41</v>
      </c>
      <c r="F353" s="254">
        <v>42</v>
      </c>
      <c r="G353" s="254">
        <v>43</v>
      </c>
      <c r="H353" s="254">
        <v>44</v>
      </c>
      <c r="I353" s="254">
        <v>45</v>
      </c>
      <c r="J353" s="254">
        <v>46</v>
      </c>
      <c r="K353" s="254">
        <v>47</v>
      </c>
      <c r="L353" s="254">
        <v>48</v>
      </c>
      <c r="M353" s="254">
        <v>49</v>
      </c>
      <c r="N353" s="254">
        <v>50</v>
      </c>
      <c r="O353" s="254">
        <v>51</v>
      </c>
      <c r="P353" s="254">
        <v>52</v>
      </c>
      <c r="Q353" s="254">
        <v>53</v>
      </c>
      <c r="R353" s="254">
        <v>54</v>
      </c>
      <c r="S353" s="254">
        <v>55</v>
      </c>
      <c r="T353" s="254">
        <v>56</v>
      </c>
      <c r="U353" s="254">
        <v>57</v>
      </c>
      <c r="V353" s="254">
        <v>58</v>
      </c>
      <c r="W353" s="254">
        <v>59</v>
      </c>
      <c r="X353" s="254">
        <v>60</v>
      </c>
      <c r="Y353" s="254">
        <v>61</v>
      </c>
      <c r="Z353" s="254">
        <v>62</v>
      </c>
      <c r="AA353" s="254">
        <v>63</v>
      </c>
      <c r="AB353" s="254">
        <v>64</v>
      </c>
      <c r="AC353" s="254">
        <v>65</v>
      </c>
      <c r="AD353" s="254">
        <v>66</v>
      </c>
      <c r="AE353" s="254">
        <v>67</v>
      </c>
      <c r="AF353" s="254">
        <v>68</v>
      </c>
      <c r="AG353" s="254">
        <v>69</v>
      </c>
      <c r="AH353" s="254">
        <v>70</v>
      </c>
      <c r="AI353" s="254">
        <v>71</v>
      </c>
      <c r="AJ353" s="254">
        <v>72</v>
      </c>
      <c r="AK353" s="254">
        <v>73</v>
      </c>
      <c r="AL353" s="254">
        <v>74</v>
      </c>
      <c r="AM353" s="254">
        <v>75</v>
      </c>
      <c r="AN353" s="254">
        <v>76</v>
      </c>
      <c r="AO353" s="254">
        <v>77</v>
      </c>
      <c r="AP353" s="254">
        <v>78</v>
      </c>
      <c r="AQ353" s="254">
        <v>79</v>
      </c>
      <c r="AR353" s="254">
        <v>80</v>
      </c>
      <c r="AS353" s="254">
        <v>81</v>
      </c>
      <c r="AT353" s="254">
        <v>82</v>
      </c>
      <c r="AU353" s="254">
        <v>83</v>
      </c>
      <c r="AV353" s="254">
        <v>84</v>
      </c>
      <c r="AW353" s="254">
        <v>85</v>
      </c>
      <c r="AX353" s="254">
        <v>86</v>
      </c>
      <c r="AY353" s="254">
        <v>87</v>
      </c>
      <c r="AZ353" s="254">
        <v>88</v>
      </c>
      <c r="BA353" s="254">
        <v>89</v>
      </c>
      <c r="BB353" s="254">
        <v>90</v>
      </c>
      <c r="BC353" s="254">
        <v>91</v>
      </c>
      <c r="BD353" s="254">
        <v>92</v>
      </c>
      <c r="BE353" s="254">
        <v>93</v>
      </c>
      <c r="BF353" s="254">
        <v>94</v>
      </c>
      <c r="BG353" s="254">
        <v>95</v>
      </c>
      <c r="BH353" s="254">
        <v>96</v>
      </c>
      <c r="BI353" s="254">
        <v>97</v>
      </c>
      <c r="BJ353" s="254">
        <v>98</v>
      </c>
      <c r="BK353" s="254">
        <v>99</v>
      </c>
      <c r="BL353" s="254">
        <v>100</v>
      </c>
      <c r="BM353" s="254">
        <v>101</v>
      </c>
      <c r="BN353" s="254">
        <v>102</v>
      </c>
      <c r="BO353" s="254">
        <v>103</v>
      </c>
      <c r="BP353" s="254">
        <v>104</v>
      </c>
      <c r="BQ353" s="254">
        <v>105</v>
      </c>
      <c r="BR353" s="254">
        <v>106</v>
      </c>
      <c r="BS353" s="254">
        <v>107</v>
      </c>
      <c r="BT353" s="254">
        <v>108</v>
      </c>
      <c r="BU353" s="254">
        <v>109</v>
      </c>
      <c r="BV353" s="254">
        <v>110</v>
      </c>
      <c r="BW353" s="254">
        <v>111</v>
      </c>
      <c r="BX353" s="254">
        <v>112</v>
      </c>
      <c r="BY353" s="254">
        <v>113</v>
      </c>
      <c r="BZ353" s="254">
        <v>114</v>
      </c>
      <c r="CA353" s="254">
        <v>115</v>
      </c>
      <c r="CB353" s="254">
        <v>116</v>
      </c>
      <c r="CC353" s="254">
        <v>117</v>
      </c>
      <c r="CD353" s="254">
        <v>118</v>
      </c>
      <c r="CE353" s="254">
        <v>119</v>
      </c>
      <c r="CF353" s="254">
        <v>120</v>
      </c>
      <c r="CG353" s="254">
        <v>121</v>
      </c>
      <c r="CH353" s="254">
        <v>122</v>
      </c>
      <c r="CI353" s="254">
        <v>123</v>
      </c>
      <c r="CJ353" s="254">
        <v>124</v>
      </c>
      <c r="CK353" s="254">
        <v>125</v>
      </c>
      <c r="CL353" s="254">
        <v>126</v>
      </c>
      <c r="CM353" s="254">
        <v>127</v>
      </c>
      <c r="CN353" s="254">
        <v>128</v>
      </c>
      <c r="CO353" s="254">
        <v>129</v>
      </c>
      <c r="CP353" s="254">
        <v>130</v>
      </c>
      <c r="CQ353" s="254">
        <v>131</v>
      </c>
      <c r="CR353" s="254">
        <v>132</v>
      </c>
      <c r="CS353" s="254">
        <v>133</v>
      </c>
      <c r="CT353" s="254">
        <v>134</v>
      </c>
      <c r="CU353" s="254">
        <v>135</v>
      </c>
      <c r="CV353" s="254">
        <v>136</v>
      </c>
      <c r="CW353" s="254">
        <v>137</v>
      </c>
      <c r="CX353" s="254">
        <v>138</v>
      </c>
      <c r="CY353" s="254">
        <v>139</v>
      </c>
      <c r="CZ353" s="254">
        <v>140</v>
      </c>
      <c r="DA353" s="254">
        <v>141</v>
      </c>
      <c r="DB353" s="254">
        <v>142</v>
      </c>
      <c r="DC353" s="254">
        <v>143</v>
      </c>
      <c r="DD353" s="254">
        <v>144</v>
      </c>
      <c r="DE353" s="254">
        <v>145</v>
      </c>
      <c r="DF353" s="254">
        <v>146</v>
      </c>
      <c r="DG353" s="254">
        <v>146</v>
      </c>
      <c r="DH353" s="254">
        <v>147</v>
      </c>
      <c r="DI353" s="254">
        <v>149</v>
      </c>
      <c r="DJ353" s="254">
        <v>150</v>
      </c>
      <c r="DK353" s="254">
        <v>151</v>
      </c>
      <c r="DL353" s="254">
        <v>152</v>
      </c>
      <c r="DM353" s="254">
        <v>153</v>
      </c>
      <c r="DN353" s="254">
        <v>154</v>
      </c>
      <c r="DO353" s="254">
        <v>155</v>
      </c>
      <c r="DP353" s="254">
        <v>156</v>
      </c>
      <c r="DQ353" s="254">
        <v>157</v>
      </c>
      <c r="DR353" s="254">
        <v>158</v>
      </c>
      <c r="DS353" s="254">
        <v>159</v>
      </c>
      <c r="DT353" s="254">
        <v>160</v>
      </c>
    </row>
    <row r="354" spans="3:124" s="178" customFormat="1" hidden="1">
      <c r="C354" s="257" t="s">
        <v>261</v>
      </c>
      <c r="D354" s="254">
        <v>1</v>
      </c>
      <c r="E354" s="254">
        <v>1</v>
      </c>
      <c r="F354" s="254">
        <v>1</v>
      </c>
      <c r="G354" s="254">
        <v>1</v>
      </c>
      <c r="H354" s="254">
        <v>1</v>
      </c>
      <c r="I354" s="254">
        <v>1</v>
      </c>
      <c r="J354" s="254">
        <v>1</v>
      </c>
      <c r="K354" s="254">
        <v>1</v>
      </c>
      <c r="L354" s="254">
        <v>1</v>
      </c>
      <c r="M354" s="254">
        <v>1</v>
      </c>
      <c r="N354" s="254">
        <v>1</v>
      </c>
      <c r="O354" s="254">
        <v>1</v>
      </c>
      <c r="P354" s="254">
        <v>1</v>
      </c>
      <c r="Q354" s="254">
        <v>1</v>
      </c>
      <c r="R354" s="254">
        <v>1</v>
      </c>
      <c r="S354" s="254">
        <v>1</v>
      </c>
      <c r="T354" s="254">
        <v>1</v>
      </c>
      <c r="U354" s="254">
        <v>1</v>
      </c>
      <c r="V354" s="254">
        <v>1</v>
      </c>
      <c r="W354" s="254">
        <v>1</v>
      </c>
      <c r="X354" s="254">
        <v>1</v>
      </c>
      <c r="Y354" s="254">
        <v>1</v>
      </c>
      <c r="Z354" s="254">
        <v>1</v>
      </c>
      <c r="AA354" s="254">
        <v>1</v>
      </c>
      <c r="AB354" s="254">
        <v>1</v>
      </c>
      <c r="AC354" s="254">
        <v>1</v>
      </c>
      <c r="AD354" s="254">
        <v>1</v>
      </c>
      <c r="AE354" s="254">
        <v>1</v>
      </c>
      <c r="AF354" s="254">
        <v>2</v>
      </c>
      <c r="AG354" s="254">
        <v>2</v>
      </c>
      <c r="AH354" s="254">
        <v>2</v>
      </c>
      <c r="AI354" s="254">
        <v>3</v>
      </c>
      <c r="AJ354" s="254">
        <v>3</v>
      </c>
      <c r="AK354" s="254">
        <v>4</v>
      </c>
      <c r="AL354" s="254">
        <v>4</v>
      </c>
      <c r="AM354" s="254">
        <v>5</v>
      </c>
      <c r="AN354" s="254">
        <v>5</v>
      </c>
      <c r="AO354" s="254">
        <v>6</v>
      </c>
      <c r="AP354" s="254">
        <v>7</v>
      </c>
      <c r="AQ354" s="254">
        <v>8</v>
      </c>
      <c r="AR354" s="254">
        <v>9</v>
      </c>
      <c r="AS354" s="254">
        <v>10</v>
      </c>
      <c r="AT354" s="254">
        <v>12</v>
      </c>
      <c r="AU354" s="254">
        <v>13</v>
      </c>
      <c r="AV354" s="254">
        <v>14</v>
      </c>
      <c r="AW354" s="254">
        <v>16</v>
      </c>
      <c r="AX354" s="254">
        <v>18</v>
      </c>
      <c r="AY354" s="254">
        <v>19</v>
      </c>
      <c r="AZ354" s="254">
        <v>21</v>
      </c>
      <c r="BA354" s="254">
        <v>23</v>
      </c>
      <c r="BB354" s="254">
        <v>25</v>
      </c>
      <c r="BC354" s="254">
        <v>27</v>
      </c>
      <c r="BD354" s="254">
        <v>30</v>
      </c>
      <c r="BE354" s="254">
        <v>32</v>
      </c>
      <c r="BF354" s="254">
        <v>34</v>
      </c>
      <c r="BG354" s="254">
        <v>37</v>
      </c>
      <c r="BH354" s="254">
        <v>40</v>
      </c>
      <c r="BI354" s="254">
        <v>42</v>
      </c>
      <c r="BJ354" s="254">
        <v>45</v>
      </c>
      <c r="BK354" s="254">
        <v>47</v>
      </c>
      <c r="BL354" s="254">
        <v>50</v>
      </c>
      <c r="BM354" s="254">
        <v>53</v>
      </c>
      <c r="BN354" s="254">
        <v>55</v>
      </c>
      <c r="BO354" s="254">
        <v>58</v>
      </c>
      <c r="BP354" s="254">
        <v>61</v>
      </c>
      <c r="BQ354" s="254">
        <v>63</v>
      </c>
      <c r="BR354" s="254">
        <v>66</v>
      </c>
      <c r="BS354" s="254">
        <v>68</v>
      </c>
      <c r="BT354" s="254">
        <v>70</v>
      </c>
      <c r="BU354" s="254">
        <v>73</v>
      </c>
      <c r="BV354" s="254">
        <v>75</v>
      </c>
      <c r="BW354" s="254">
        <v>77</v>
      </c>
      <c r="BX354" s="254">
        <v>79</v>
      </c>
      <c r="BY354" s="254">
        <v>81</v>
      </c>
      <c r="BZ354" s="254">
        <v>82</v>
      </c>
      <c r="CA354" s="254">
        <v>84</v>
      </c>
      <c r="CB354" s="254">
        <v>86</v>
      </c>
      <c r="CC354" s="254">
        <v>87</v>
      </c>
      <c r="CD354" s="254">
        <v>88</v>
      </c>
      <c r="CE354" s="254">
        <v>90</v>
      </c>
      <c r="CF354" s="254">
        <v>91</v>
      </c>
      <c r="CG354" s="254">
        <v>92</v>
      </c>
      <c r="CH354" s="254">
        <v>93</v>
      </c>
      <c r="CI354" s="254">
        <v>94</v>
      </c>
      <c r="CJ354" s="254">
        <v>95</v>
      </c>
      <c r="CK354" s="254">
        <v>95</v>
      </c>
      <c r="CL354" s="254">
        <v>96</v>
      </c>
      <c r="CM354" s="254">
        <v>96</v>
      </c>
      <c r="CN354" s="254">
        <v>97</v>
      </c>
      <c r="CO354" s="254">
        <v>97</v>
      </c>
      <c r="CP354" s="254">
        <v>98</v>
      </c>
      <c r="CQ354" s="254">
        <v>98</v>
      </c>
      <c r="CR354" s="254">
        <v>98</v>
      </c>
      <c r="CS354" s="254">
        <v>99</v>
      </c>
      <c r="CT354" s="254">
        <v>99</v>
      </c>
      <c r="CU354" s="254">
        <v>99</v>
      </c>
      <c r="CV354" s="254">
        <v>99</v>
      </c>
      <c r="CW354" s="254">
        <v>99</v>
      </c>
      <c r="CX354" s="254">
        <v>99</v>
      </c>
      <c r="CY354" s="254">
        <v>99</v>
      </c>
      <c r="CZ354" s="254">
        <v>99</v>
      </c>
      <c r="DA354" s="254">
        <v>99</v>
      </c>
      <c r="DB354" s="254">
        <v>99</v>
      </c>
      <c r="DC354" s="254">
        <v>99</v>
      </c>
      <c r="DD354" s="254">
        <v>99</v>
      </c>
      <c r="DE354" s="254">
        <v>99</v>
      </c>
      <c r="DF354" s="254">
        <v>99</v>
      </c>
      <c r="DG354" s="254">
        <v>99</v>
      </c>
      <c r="DH354" s="254">
        <v>99</v>
      </c>
      <c r="DI354" s="254">
        <v>99</v>
      </c>
      <c r="DJ354" s="254">
        <v>99</v>
      </c>
      <c r="DK354" s="254">
        <v>99</v>
      </c>
      <c r="DL354" s="254">
        <v>99</v>
      </c>
      <c r="DM354" s="254">
        <v>99</v>
      </c>
      <c r="DN354" s="254">
        <v>99</v>
      </c>
      <c r="DO354" s="254">
        <v>99</v>
      </c>
      <c r="DP354" s="254">
        <v>99</v>
      </c>
      <c r="DQ354" s="254">
        <v>99</v>
      </c>
      <c r="DR354" s="254">
        <v>99</v>
      </c>
      <c r="DS354" s="254">
        <v>99</v>
      </c>
      <c r="DT354" s="254">
        <v>99</v>
      </c>
    </row>
    <row r="355" spans="3:124" s="178" customFormat="1" hidden="1">
      <c r="C355" s="249"/>
      <c r="D355" s="249">
        <v>0</v>
      </c>
      <c r="E355" s="249">
        <v>70</v>
      </c>
      <c r="F355" s="249">
        <v>80</v>
      </c>
      <c r="G355" s="249">
        <v>90</v>
      </c>
      <c r="H355" s="249">
        <v>111</v>
      </c>
      <c r="I355" s="249">
        <v>120</v>
      </c>
      <c r="J355" s="249">
        <v>130</v>
      </c>
      <c r="K355" s="249"/>
      <c r="L355" s="249"/>
      <c r="M355" s="249"/>
      <c r="N355" s="249"/>
      <c r="O355" s="249"/>
      <c r="P355" s="249"/>
      <c r="Q355" s="249"/>
      <c r="R355" s="249"/>
      <c r="S355" s="249"/>
      <c r="T355" s="249"/>
      <c r="U355" s="249"/>
      <c r="V355" s="249"/>
      <c r="W355" s="249"/>
      <c r="X355" s="249"/>
      <c r="Y355" s="249"/>
      <c r="Z355" s="249"/>
      <c r="AA355" s="249"/>
      <c r="AB355" s="249"/>
      <c r="AC355" s="249"/>
      <c r="AD355" s="249"/>
      <c r="AE355" s="249"/>
      <c r="AF355" s="249"/>
      <c r="AG355" s="249"/>
      <c r="AH355" s="249"/>
      <c r="AI355" s="249"/>
      <c r="AJ355" s="249"/>
      <c r="AK355" s="249"/>
      <c r="AL355" s="249"/>
      <c r="AM355" s="249"/>
      <c r="AN355" s="249"/>
      <c r="AO355" s="249"/>
      <c r="AP355" s="249"/>
      <c r="AQ355" s="249"/>
      <c r="AR355" s="249"/>
      <c r="AS355" s="249"/>
      <c r="AT355" s="249"/>
      <c r="AU355" s="249"/>
      <c r="AV355" s="249"/>
      <c r="AW355" s="249"/>
      <c r="AX355" s="249"/>
      <c r="AY355" s="249"/>
      <c r="AZ355" s="249"/>
      <c r="BA355" s="249"/>
      <c r="BB355" s="249"/>
      <c r="BC355" s="249"/>
      <c r="BD355" s="249"/>
      <c r="BE355" s="249"/>
      <c r="BF355" s="249"/>
      <c r="BG355" s="249"/>
      <c r="BH355" s="249"/>
      <c r="BI355" s="249"/>
      <c r="BJ355" s="249"/>
      <c r="BK355" s="249"/>
      <c r="BL355" s="249"/>
      <c r="BM355" s="249"/>
      <c r="BN355" s="249"/>
      <c r="BO355" s="249"/>
      <c r="BP355" s="249"/>
      <c r="BQ355" s="249"/>
      <c r="BR355" s="249"/>
      <c r="BS355" s="249"/>
      <c r="BT355" s="249"/>
      <c r="BU355" s="249"/>
      <c r="BV355" s="249"/>
      <c r="BW355" s="249"/>
      <c r="BX355" s="249"/>
      <c r="BY355" s="249"/>
      <c r="BZ355" s="249"/>
      <c r="CA355" s="249"/>
      <c r="CB355" s="249"/>
      <c r="CC355" s="249"/>
      <c r="CD355" s="249"/>
      <c r="CE355" s="249"/>
      <c r="CF355" s="249"/>
      <c r="CG355" s="249"/>
      <c r="CH355" s="249"/>
      <c r="CI355" s="249"/>
      <c r="CJ355" s="249"/>
      <c r="CK355" s="249"/>
      <c r="CL355" s="249"/>
      <c r="CM355" s="249"/>
      <c r="CN355" s="249"/>
      <c r="CO355" s="249"/>
      <c r="CP355" s="249"/>
      <c r="CQ355" s="249"/>
      <c r="CR355" s="249"/>
      <c r="CS355" s="249"/>
      <c r="CT355" s="249"/>
      <c r="CU355" s="249"/>
      <c r="CV355" s="249"/>
      <c r="CW355" s="249"/>
      <c r="CX355" s="249"/>
      <c r="CY355" s="249"/>
      <c r="CZ355" s="249"/>
      <c r="DA355" s="249"/>
      <c r="DB355" s="249"/>
      <c r="DC355" s="249"/>
      <c r="DD355" s="249"/>
      <c r="DE355" s="249"/>
      <c r="DF355" s="249"/>
      <c r="DG355" s="249"/>
      <c r="DH355" s="249"/>
      <c r="DI355" s="249"/>
      <c r="DJ355" s="249"/>
      <c r="DK355" s="249"/>
      <c r="DL355" s="249"/>
      <c r="DM355" s="249"/>
      <c r="DN355" s="249"/>
      <c r="DO355" s="249"/>
      <c r="DP355" s="249"/>
      <c r="DQ355" s="249"/>
      <c r="DR355" s="249"/>
      <c r="DS355" s="249"/>
      <c r="DT355" s="249"/>
    </row>
    <row r="356" spans="3:124" s="178" customFormat="1" hidden="1">
      <c r="C356" s="249"/>
      <c r="D356" s="249" t="s">
        <v>265</v>
      </c>
      <c r="E356" s="249" t="s">
        <v>266</v>
      </c>
      <c r="F356" s="249" t="s">
        <v>267</v>
      </c>
      <c r="G356" s="249" t="s">
        <v>268</v>
      </c>
      <c r="H356" s="249" t="s">
        <v>269</v>
      </c>
      <c r="I356" s="249" t="s">
        <v>270</v>
      </c>
      <c r="J356" s="249" t="s">
        <v>271</v>
      </c>
      <c r="K356" s="249"/>
      <c r="L356" s="249"/>
      <c r="M356" s="249"/>
      <c r="N356" s="249"/>
      <c r="O356" s="249"/>
      <c r="P356" s="249"/>
      <c r="Q356" s="249"/>
      <c r="R356" s="249"/>
      <c r="S356" s="249"/>
      <c r="T356" s="249"/>
      <c r="U356" s="249"/>
      <c r="V356" s="249"/>
      <c r="W356" s="249"/>
      <c r="X356" s="249"/>
      <c r="Y356" s="249"/>
      <c r="Z356" s="249"/>
      <c r="AA356" s="249"/>
      <c r="AB356" s="249"/>
      <c r="AC356" s="249"/>
      <c r="AD356" s="249"/>
      <c r="AE356" s="249"/>
      <c r="AF356" s="249"/>
      <c r="AG356" s="249"/>
      <c r="AH356" s="249"/>
      <c r="AI356" s="249"/>
      <c r="AJ356" s="249"/>
      <c r="AK356" s="249"/>
      <c r="AL356" s="249"/>
      <c r="AM356" s="249"/>
      <c r="AN356" s="249"/>
      <c r="AO356" s="249"/>
      <c r="AP356" s="249"/>
      <c r="AQ356" s="249"/>
      <c r="AR356" s="249"/>
      <c r="AS356" s="249"/>
      <c r="AT356" s="249"/>
      <c r="AU356" s="249"/>
      <c r="AV356" s="249"/>
      <c r="AW356" s="249"/>
      <c r="AX356" s="249"/>
      <c r="AY356" s="249"/>
      <c r="AZ356" s="249"/>
      <c r="BA356" s="249"/>
      <c r="BB356" s="249"/>
      <c r="BC356" s="249"/>
      <c r="BD356" s="249"/>
      <c r="BE356" s="249"/>
      <c r="BF356" s="249"/>
      <c r="BG356" s="249"/>
      <c r="BH356" s="249"/>
      <c r="BI356" s="249"/>
      <c r="BJ356" s="249"/>
      <c r="BK356" s="249"/>
      <c r="BL356" s="249"/>
      <c r="BM356" s="249"/>
      <c r="BN356" s="249"/>
      <c r="BO356" s="249"/>
      <c r="BP356" s="249"/>
      <c r="BQ356" s="249"/>
      <c r="BR356" s="249"/>
      <c r="BS356" s="249"/>
      <c r="BT356" s="249"/>
      <c r="BU356" s="249"/>
      <c r="BV356" s="249"/>
      <c r="BW356" s="249"/>
      <c r="BX356" s="249"/>
      <c r="BY356" s="249"/>
      <c r="BZ356" s="249"/>
      <c r="CA356" s="249"/>
      <c r="CB356" s="249"/>
      <c r="CC356" s="249"/>
      <c r="CD356" s="249"/>
      <c r="CE356" s="249"/>
      <c r="CF356" s="249"/>
      <c r="CG356" s="249"/>
      <c r="CH356" s="249"/>
      <c r="CI356" s="249"/>
      <c r="CJ356" s="249"/>
      <c r="CK356" s="249"/>
      <c r="CL356" s="249"/>
      <c r="CM356" s="249"/>
      <c r="CN356" s="249"/>
      <c r="CO356" s="249"/>
      <c r="CP356" s="249"/>
      <c r="CQ356" s="249"/>
      <c r="CR356" s="249"/>
      <c r="CS356" s="249"/>
      <c r="CT356" s="249"/>
      <c r="CU356" s="249"/>
      <c r="CV356" s="249"/>
      <c r="CW356" s="249"/>
      <c r="CX356" s="249"/>
      <c r="CY356" s="249"/>
      <c r="CZ356" s="249"/>
      <c r="DA356" s="249"/>
      <c r="DB356" s="249"/>
      <c r="DC356" s="249"/>
      <c r="DD356" s="249"/>
      <c r="DE356" s="249"/>
      <c r="DF356" s="249"/>
      <c r="DG356" s="249"/>
      <c r="DH356" s="249"/>
      <c r="DI356" s="249"/>
      <c r="DJ356" s="249"/>
      <c r="DK356" s="249"/>
      <c r="DL356" s="249"/>
      <c r="DM356" s="249"/>
      <c r="DN356" s="249"/>
      <c r="DO356" s="249"/>
      <c r="DP356" s="249"/>
      <c r="DQ356" s="249"/>
      <c r="DR356" s="249"/>
      <c r="DS356" s="249"/>
      <c r="DT356" s="249"/>
    </row>
    <row r="357" spans="3:124" s="178" customFormat="1" hidden="1">
      <c r="C357" s="249" t="s">
        <v>272</v>
      </c>
      <c r="D357" s="249">
        <v>0</v>
      </c>
      <c r="E357" s="249">
        <v>1</v>
      </c>
      <c r="F357" s="249">
        <v>2</v>
      </c>
      <c r="G357" s="249">
        <v>3</v>
      </c>
      <c r="H357" s="249">
        <v>4</v>
      </c>
      <c r="I357" s="249">
        <v>5</v>
      </c>
      <c r="J357" s="249">
        <v>6</v>
      </c>
      <c r="K357" s="249">
        <v>7</v>
      </c>
      <c r="L357" s="249">
        <v>8</v>
      </c>
      <c r="M357" s="249">
        <v>9</v>
      </c>
      <c r="N357" s="249">
        <v>10</v>
      </c>
      <c r="O357" s="249">
        <v>11</v>
      </c>
      <c r="P357" s="249">
        <v>12</v>
      </c>
      <c r="Q357" s="249">
        <v>13</v>
      </c>
      <c r="R357" s="249">
        <v>14</v>
      </c>
      <c r="S357" s="249">
        <v>15</v>
      </c>
      <c r="T357" s="249">
        <v>16</v>
      </c>
      <c r="U357" s="249">
        <v>17</v>
      </c>
      <c r="V357" s="249">
        <v>18</v>
      </c>
      <c r="W357" s="249">
        <v>19</v>
      </c>
      <c r="X357" s="249">
        <v>20</v>
      </c>
      <c r="Y357" s="249">
        <v>21</v>
      </c>
      <c r="Z357" s="249">
        <v>22</v>
      </c>
      <c r="AA357" s="249">
        <v>23</v>
      </c>
      <c r="AB357" s="249">
        <v>24</v>
      </c>
      <c r="AC357" s="249">
        <v>25</v>
      </c>
      <c r="AD357" s="249">
        <v>26</v>
      </c>
      <c r="AE357" s="249">
        <v>27</v>
      </c>
      <c r="AF357" s="249">
        <v>28</v>
      </c>
      <c r="AG357" s="249">
        <v>29</v>
      </c>
      <c r="AH357" s="249">
        <v>30</v>
      </c>
      <c r="AI357" s="249">
        <v>31</v>
      </c>
      <c r="AJ357" s="249">
        <v>32</v>
      </c>
      <c r="AK357" s="249">
        <v>33</v>
      </c>
      <c r="AL357" s="249">
        <v>34</v>
      </c>
      <c r="AM357" s="249">
        <v>35</v>
      </c>
      <c r="AN357" s="249">
        <v>36</v>
      </c>
      <c r="AO357" s="249">
        <v>37</v>
      </c>
      <c r="AP357" s="249">
        <v>38</v>
      </c>
      <c r="AQ357" s="249">
        <v>39</v>
      </c>
      <c r="AR357" s="249">
        <v>40</v>
      </c>
      <c r="AS357" s="249"/>
      <c r="AT357" s="249"/>
      <c r="AU357" s="249"/>
      <c r="AV357" s="249"/>
      <c r="AW357" s="249"/>
      <c r="AX357" s="249"/>
      <c r="AY357" s="249"/>
      <c r="AZ357" s="249"/>
      <c r="BA357" s="249"/>
      <c r="BB357" s="249"/>
      <c r="BC357" s="249"/>
      <c r="BD357" s="249"/>
      <c r="BE357" s="249"/>
      <c r="BF357" s="249"/>
      <c r="BG357" s="249"/>
      <c r="BH357" s="249"/>
      <c r="BI357" s="249"/>
      <c r="BJ357" s="249"/>
      <c r="BK357" s="249"/>
      <c r="BL357" s="249"/>
      <c r="BM357" s="249"/>
      <c r="BN357" s="249"/>
      <c r="BO357" s="249"/>
      <c r="BP357" s="249"/>
      <c r="BQ357" s="249"/>
      <c r="BR357" s="249"/>
      <c r="BS357" s="249"/>
      <c r="BT357" s="249"/>
      <c r="BU357" s="249"/>
      <c r="BV357" s="249"/>
      <c r="BW357" s="249"/>
      <c r="BX357" s="249"/>
      <c r="BY357" s="249"/>
      <c r="BZ357" s="249"/>
      <c r="CA357" s="249"/>
      <c r="CB357" s="249"/>
      <c r="CC357" s="249"/>
      <c r="CD357" s="249"/>
      <c r="CE357" s="249"/>
      <c r="CF357" s="249"/>
      <c r="CG357" s="249"/>
      <c r="CH357" s="249"/>
      <c r="CI357" s="249"/>
      <c r="CJ357" s="249"/>
      <c r="CK357" s="249"/>
      <c r="CL357" s="249"/>
      <c r="CM357" s="249"/>
      <c r="CN357" s="249"/>
      <c r="CO357" s="249"/>
      <c r="CP357" s="249"/>
      <c r="CQ357" s="249"/>
      <c r="CR357" s="249"/>
      <c r="CS357" s="249"/>
      <c r="CT357" s="249"/>
      <c r="CU357" s="249"/>
      <c r="CV357" s="249"/>
      <c r="CW357" s="249"/>
      <c r="CX357" s="249"/>
      <c r="CY357" s="249"/>
      <c r="CZ357" s="249"/>
      <c r="DA357" s="249"/>
      <c r="DB357" s="249"/>
      <c r="DC357" s="249"/>
      <c r="DD357" s="249"/>
      <c r="DE357" s="249"/>
      <c r="DF357" s="249"/>
      <c r="DG357" s="249"/>
      <c r="DH357" s="249"/>
      <c r="DI357" s="249"/>
      <c r="DJ357" s="249"/>
      <c r="DK357" s="249"/>
      <c r="DL357" s="249"/>
      <c r="DM357" s="249"/>
      <c r="DN357" s="249"/>
      <c r="DO357" s="249"/>
      <c r="DP357" s="249"/>
      <c r="DQ357" s="249"/>
      <c r="DR357" s="249"/>
      <c r="DS357" s="249"/>
      <c r="DT357" s="249"/>
    </row>
    <row r="358" spans="3:124" s="178" customFormat="1" hidden="1">
      <c r="C358" s="249" t="s">
        <v>273</v>
      </c>
      <c r="D358" s="249">
        <v>100</v>
      </c>
      <c r="E358" s="249">
        <v>100</v>
      </c>
      <c r="F358" s="249">
        <v>98.4</v>
      </c>
      <c r="G358" s="249">
        <v>90.3</v>
      </c>
      <c r="H358" s="249">
        <v>72.8</v>
      </c>
      <c r="I358" s="249">
        <v>50.4</v>
      </c>
      <c r="J358" s="249">
        <v>31.3</v>
      </c>
      <c r="K358" s="249">
        <v>17.2</v>
      </c>
      <c r="L358" s="249">
        <v>7.9</v>
      </c>
      <c r="M358" s="249">
        <v>3.7</v>
      </c>
      <c r="N358" s="249">
        <v>1.8</v>
      </c>
      <c r="O358" s="249">
        <v>0.6</v>
      </c>
      <c r="P358" s="249">
        <v>0.2</v>
      </c>
      <c r="Q358" s="249">
        <v>0</v>
      </c>
      <c r="R358" s="249">
        <v>0</v>
      </c>
      <c r="S358" s="249">
        <v>0</v>
      </c>
      <c r="T358" s="249">
        <v>0</v>
      </c>
      <c r="U358" s="249">
        <v>0</v>
      </c>
      <c r="V358" s="249">
        <v>0</v>
      </c>
      <c r="W358" s="249"/>
      <c r="X358" s="249"/>
      <c r="Y358" s="249"/>
      <c r="Z358" s="249"/>
      <c r="AA358" s="249"/>
      <c r="AB358" s="249"/>
      <c r="AC358" s="249"/>
      <c r="AD358" s="249"/>
      <c r="AE358" s="249"/>
      <c r="AF358" s="249"/>
      <c r="AG358" s="249"/>
      <c r="AH358" s="249"/>
      <c r="AI358" s="249"/>
      <c r="AJ358" s="249"/>
      <c r="AK358" s="249"/>
      <c r="AL358" s="249"/>
      <c r="AM358" s="249"/>
      <c r="AN358" s="249"/>
      <c r="AO358" s="249"/>
      <c r="AP358" s="249"/>
      <c r="AQ358" s="249"/>
      <c r="AR358" s="249"/>
      <c r="AS358" s="249"/>
      <c r="AT358" s="249"/>
      <c r="AU358" s="249"/>
      <c r="AV358" s="249"/>
      <c r="AW358" s="249"/>
      <c r="AX358" s="249"/>
      <c r="AY358" s="249"/>
      <c r="AZ358" s="249"/>
      <c r="BA358" s="249"/>
      <c r="BB358" s="249"/>
      <c r="BC358" s="249"/>
      <c r="BD358" s="249"/>
      <c r="BE358" s="249"/>
      <c r="BF358" s="249"/>
      <c r="BG358" s="249"/>
      <c r="BH358" s="249"/>
      <c r="BI358" s="249"/>
      <c r="BJ358" s="249"/>
      <c r="BK358" s="249"/>
      <c r="BL358" s="249"/>
      <c r="BM358" s="249"/>
      <c r="BN358" s="249"/>
      <c r="BO358" s="249"/>
      <c r="BP358" s="249"/>
      <c r="BQ358" s="249"/>
      <c r="BR358" s="249"/>
      <c r="BS358" s="249"/>
      <c r="BT358" s="249"/>
      <c r="BU358" s="249"/>
      <c r="BV358" s="249"/>
      <c r="BW358" s="249"/>
      <c r="BX358" s="249"/>
      <c r="BY358" s="249"/>
      <c r="BZ358" s="249"/>
      <c r="CA358" s="249"/>
      <c r="CB358" s="249"/>
      <c r="CC358" s="249"/>
      <c r="CD358" s="249"/>
      <c r="CE358" s="249"/>
      <c r="CF358" s="249"/>
      <c r="CG358" s="249"/>
      <c r="CH358" s="249"/>
      <c r="CI358" s="249"/>
      <c r="CJ358" s="249"/>
      <c r="CK358" s="249"/>
      <c r="CL358" s="249"/>
      <c r="CM358" s="249"/>
      <c r="CN358" s="249"/>
      <c r="CO358" s="249"/>
      <c r="CP358" s="249"/>
      <c r="CQ358" s="249"/>
      <c r="CR358" s="249"/>
      <c r="CS358" s="249"/>
      <c r="CT358" s="249"/>
      <c r="CU358" s="249"/>
      <c r="CV358" s="249"/>
      <c r="CW358" s="249"/>
      <c r="CX358" s="249"/>
      <c r="CY358" s="249"/>
      <c r="CZ358" s="249"/>
      <c r="DA358" s="249"/>
      <c r="DB358" s="249"/>
      <c r="DC358" s="249"/>
      <c r="DD358" s="249"/>
      <c r="DE358" s="249"/>
      <c r="DF358" s="249"/>
      <c r="DG358" s="249"/>
      <c r="DH358" s="249"/>
      <c r="DI358" s="249"/>
      <c r="DJ358" s="249"/>
      <c r="DK358" s="249"/>
      <c r="DL358" s="249"/>
      <c r="DM358" s="249"/>
      <c r="DN358" s="249"/>
      <c r="DO358" s="249"/>
      <c r="DP358" s="249"/>
      <c r="DQ358" s="249"/>
      <c r="DR358" s="249"/>
      <c r="DS358" s="249"/>
      <c r="DT358" s="249"/>
    </row>
    <row r="359" spans="3:124" s="178" customFormat="1" hidden="1">
      <c r="C359" s="249" t="s">
        <v>274</v>
      </c>
      <c r="D359" s="249">
        <v>100</v>
      </c>
      <c r="E359" s="249">
        <v>100</v>
      </c>
      <c r="F359" s="249">
        <v>99.3</v>
      </c>
      <c r="G359" s="249">
        <v>95</v>
      </c>
      <c r="H359" s="249">
        <v>82.4</v>
      </c>
      <c r="I359" s="249">
        <v>61.7</v>
      </c>
      <c r="J359" s="249">
        <v>41.4</v>
      </c>
      <c r="K359" s="249">
        <v>24.4</v>
      </c>
      <c r="L359" s="249">
        <v>11.5</v>
      </c>
      <c r="M359" s="249">
        <v>5.0999999999999996</v>
      </c>
      <c r="N359" s="249">
        <v>1.8</v>
      </c>
      <c r="O359" s="249">
        <v>0.9</v>
      </c>
      <c r="P359" s="249">
        <v>0.3</v>
      </c>
      <c r="Q359" s="249">
        <v>0.2</v>
      </c>
      <c r="R359" s="249">
        <v>0.2</v>
      </c>
      <c r="S359" s="249">
        <v>0</v>
      </c>
      <c r="T359" s="249">
        <v>0</v>
      </c>
      <c r="U359" s="249">
        <v>0</v>
      </c>
      <c r="V359" s="249">
        <v>0</v>
      </c>
      <c r="W359" s="249"/>
      <c r="X359" s="249"/>
      <c r="Y359" s="249"/>
      <c r="Z359" s="249"/>
      <c r="AA359" s="249"/>
      <c r="AB359" s="249"/>
      <c r="AC359" s="249"/>
      <c r="AD359" s="249"/>
      <c r="AE359" s="249"/>
      <c r="AF359" s="249"/>
      <c r="AG359" s="249"/>
      <c r="AH359" s="249"/>
      <c r="AI359" s="249"/>
      <c r="AJ359" s="249"/>
      <c r="AK359" s="249"/>
      <c r="AL359" s="249"/>
      <c r="AM359" s="249"/>
      <c r="AN359" s="249"/>
      <c r="AO359" s="249"/>
      <c r="AP359" s="249"/>
      <c r="AQ359" s="249"/>
      <c r="AR359" s="249"/>
      <c r="AS359" s="249"/>
      <c r="AT359" s="249"/>
      <c r="AU359" s="249"/>
      <c r="AV359" s="249"/>
      <c r="AW359" s="249"/>
      <c r="AX359" s="249"/>
      <c r="AY359" s="249"/>
      <c r="AZ359" s="249"/>
      <c r="BA359" s="249"/>
      <c r="BB359" s="249"/>
      <c r="BC359" s="249"/>
      <c r="BD359" s="249"/>
      <c r="BE359" s="249"/>
      <c r="BF359" s="249"/>
      <c r="BG359" s="249"/>
      <c r="BH359" s="249"/>
      <c r="BI359" s="249"/>
      <c r="BJ359" s="249"/>
      <c r="BK359" s="249"/>
      <c r="BL359" s="249"/>
      <c r="BM359" s="249"/>
      <c r="BN359" s="249"/>
      <c r="BO359" s="249"/>
      <c r="BP359" s="249"/>
      <c r="BQ359" s="249"/>
      <c r="BR359" s="249"/>
      <c r="BS359" s="249"/>
      <c r="BT359" s="249"/>
      <c r="BU359" s="249"/>
      <c r="BV359" s="249"/>
      <c r="BW359" s="249"/>
      <c r="BX359" s="249"/>
      <c r="BY359" s="249"/>
      <c r="BZ359" s="249"/>
      <c r="CA359" s="249"/>
      <c r="CB359" s="249"/>
      <c r="CC359" s="249"/>
      <c r="CD359" s="249"/>
      <c r="CE359" s="249"/>
      <c r="CF359" s="249"/>
      <c r="CG359" s="249"/>
      <c r="CH359" s="249"/>
      <c r="CI359" s="249"/>
      <c r="CJ359" s="249"/>
      <c r="CK359" s="249"/>
      <c r="CL359" s="249"/>
      <c r="CM359" s="249"/>
      <c r="CN359" s="249"/>
      <c r="CO359" s="249"/>
      <c r="CP359" s="249"/>
      <c r="CQ359" s="249"/>
      <c r="CR359" s="249"/>
      <c r="CS359" s="249"/>
      <c r="CT359" s="249"/>
      <c r="CU359" s="249"/>
      <c r="CV359" s="249"/>
      <c r="CW359" s="249"/>
      <c r="CX359" s="249"/>
      <c r="CY359" s="249"/>
      <c r="CZ359" s="249"/>
      <c r="DA359" s="249"/>
      <c r="DB359" s="249"/>
      <c r="DC359" s="249"/>
      <c r="DD359" s="249"/>
      <c r="DE359" s="249"/>
      <c r="DF359" s="249"/>
      <c r="DG359" s="249"/>
      <c r="DH359" s="249"/>
      <c r="DI359" s="249"/>
      <c r="DJ359" s="249"/>
      <c r="DK359" s="249"/>
      <c r="DL359" s="249"/>
      <c r="DM359" s="249"/>
      <c r="DN359" s="249"/>
      <c r="DO359" s="249"/>
      <c r="DP359" s="249"/>
      <c r="DQ359" s="249"/>
      <c r="DR359" s="249"/>
      <c r="DS359" s="249"/>
      <c r="DT359" s="249"/>
    </row>
    <row r="360" spans="3:124" s="178" customFormat="1" hidden="1">
      <c r="C360" s="249" t="s">
        <v>275</v>
      </c>
      <c r="D360" s="249">
        <v>100</v>
      </c>
      <c r="E360" s="249">
        <v>99.9</v>
      </c>
      <c r="F360" s="249">
        <v>98.4</v>
      </c>
      <c r="G360" s="249">
        <v>90</v>
      </c>
      <c r="H360" s="249">
        <v>74.900000000000006</v>
      </c>
      <c r="I360" s="249">
        <v>56.5</v>
      </c>
      <c r="J360" s="249">
        <v>37.5</v>
      </c>
      <c r="K360" s="249">
        <v>23</v>
      </c>
      <c r="L360" s="249">
        <v>12.3</v>
      </c>
      <c r="M360" s="249">
        <v>5.4</v>
      </c>
      <c r="N360" s="249">
        <v>2.2999999999999998</v>
      </c>
      <c r="O360" s="249">
        <v>1.1000000000000001</v>
      </c>
      <c r="P360" s="249">
        <v>0.4</v>
      </c>
      <c r="Q360" s="249">
        <v>6</v>
      </c>
      <c r="R360" s="249">
        <v>5</v>
      </c>
      <c r="S360" s="249">
        <v>3.6</v>
      </c>
      <c r="T360" s="249">
        <v>2.6</v>
      </c>
      <c r="U360" s="249">
        <v>1.3</v>
      </c>
      <c r="V360" s="249">
        <v>0.7</v>
      </c>
      <c r="W360" s="249"/>
      <c r="X360" s="249"/>
      <c r="Y360" s="249"/>
      <c r="Z360" s="249"/>
      <c r="AA360" s="249"/>
      <c r="AB360" s="249"/>
      <c r="AC360" s="249"/>
      <c r="AD360" s="249"/>
      <c r="AE360" s="249"/>
      <c r="AF360" s="249"/>
      <c r="AG360" s="249"/>
      <c r="AH360" s="249"/>
      <c r="AI360" s="249"/>
      <c r="AJ360" s="249"/>
      <c r="AK360" s="249"/>
      <c r="AL360" s="249"/>
      <c r="AM360" s="249"/>
      <c r="AN360" s="249"/>
      <c r="AO360" s="249"/>
      <c r="AP360" s="249"/>
      <c r="AQ360" s="249"/>
      <c r="AR360" s="249"/>
      <c r="AS360" s="249"/>
      <c r="AT360" s="249"/>
      <c r="AU360" s="249"/>
      <c r="AV360" s="249"/>
      <c r="AW360" s="249"/>
      <c r="AX360" s="249"/>
      <c r="AY360" s="249"/>
      <c r="AZ360" s="249"/>
      <c r="BA360" s="249"/>
      <c r="BB360" s="249"/>
      <c r="BC360" s="249"/>
      <c r="BD360" s="249"/>
      <c r="BE360" s="249"/>
      <c r="BF360" s="249"/>
      <c r="BG360" s="249"/>
      <c r="BH360" s="249"/>
      <c r="BI360" s="249"/>
      <c r="BJ360" s="249"/>
      <c r="BK360" s="249"/>
      <c r="BL360" s="249"/>
      <c r="BM360" s="249"/>
      <c r="BN360" s="249"/>
      <c r="BO360" s="249"/>
      <c r="BP360" s="249"/>
      <c r="BQ360" s="249"/>
      <c r="BR360" s="249"/>
      <c r="BS360" s="249"/>
      <c r="BT360" s="249"/>
      <c r="BU360" s="249"/>
      <c r="BV360" s="249"/>
      <c r="BW360" s="249"/>
      <c r="BX360" s="249"/>
      <c r="BY360" s="249"/>
      <c r="BZ360" s="249"/>
      <c r="CA360" s="249"/>
      <c r="CB360" s="249"/>
      <c r="CC360" s="249"/>
      <c r="CD360" s="249"/>
      <c r="CE360" s="249"/>
      <c r="CF360" s="249"/>
      <c r="CG360" s="249"/>
      <c r="CH360" s="249"/>
      <c r="CI360" s="249"/>
      <c r="CJ360" s="249"/>
      <c r="CK360" s="249"/>
      <c r="CL360" s="249"/>
      <c r="CM360" s="249"/>
      <c r="CN360" s="249"/>
      <c r="CO360" s="249"/>
      <c r="CP360" s="249"/>
      <c r="CQ360" s="249"/>
      <c r="CR360" s="249"/>
      <c r="CS360" s="249"/>
      <c r="CT360" s="249"/>
      <c r="CU360" s="249"/>
      <c r="CV360" s="249"/>
      <c r="CW360" s="249"/>
      <c r="CX360" s="249"/>
      <c r="CY360" s="249"/>
      <c r="CZ360" s="249"/>
      <c r="DA360" s="249"/>
      <c r="DB360" s="249"/>
      <c r="DC360" s="249"/>
      <c r="DD360" s="249"/>
      <c r="DE360" s="249"/>
      <c r="DF360" s="249"/>
      <c r="DG360" s="249"/>
      <c r="DH360" s="249"/>
      <c r="DI360" s="249"/>
      <c r="DJ360" s="249"/>
      <c r="DK360" s="249"/>
      <c r="DL360" s="249"/>
      <c r="DM360" s="249"/>
      <c r="DN360" s="249"/>
      <c r="DO360" s="249"/>
      <c r="DP360" s="249"/>
      <c r="DQ360" s="249"/>
      <c r="DR360" s="249"/>
      <c r="DS360" s="249"/>
      <c r="DT360" s="249"/>
    </row>
    <row r="361" spans="3:124" s="178" customFormat="1" hidden="1">
      <c r="C361" s="249" t="s">
        <v>276</v>
      </c>
      <c r="D361" s="249">
        <v>100</v>
      </c>
      <c r="E361" s="249">
        <v>100</v>
      </c>
      <c r="F361" s="249">
        <v>99.7</v>
      </c>
      <c r="G361" s="249">
        <v>96.8</v>
      </c>
      <c r="H361" s="249">
        <v>87.3</v>
      </c>
      <c r="I361" s="249">
        <v>70.099999999999994</v>
      </c>
      <c r="J361" s="249">
        <v>50.7</v>
      </c>
      <c r="K361" s="249">
        <v>32.4</v>
      </c>
      <c r="L361" s="249">
        <v>18.2</v>
      </c>
      <c r="M361" s="249">
        <v>8.9</v>
      </c>
      <c r="N361" s="249">
        <v>4.2</v>
      </c>
      <c r="O361" s="249">
        <v>1.9</v>
      </c>
      <c r="P361" s="249">
        <v>0.8</v>
      </c>
      <c r="Q361" s="249">
        <v>0.3</v>
      </c>
      <c r="R361" s="249">
        <v>0.2</v>
      </c>
      <c r="S361" s="249">
        <v>0.2</v>
      </c>
      <c r="T361" s="249">
        <v>0</v>
      </c>
      <c r="U361" s="249">
        <v>0</v>
      </c>
      <c r="V361" s="249">
        <v>0</v>
      </c>
      <c r="W361" s="249"/>
      <c r="X361" s="249"/>
      <c r="Y361" s="249"/>
      <c r="Z361" s="249"/>
      <c r="AA361" s="249"/>
      <c r="AB361" s="249"/>
      <c r="AC361" s="249"/>
      <c r="AD361" s="249"/>
      <c r="AE361" s="249"/>
      <c r="AF361" s="249"/>
      <c r="AG361" s="249"/>
      <c r="AH361" s="249"/>
      <c r="AI361" s="249"/>
      <c r="AJ361" s="249"/>
      <c r="AK361" s="249"/>
      <c r="AL361" s="249"/>
      <c r="AM361" s="249"/>
      <c r="AN361" s="249"/>
      <c r="AO361" s="249"/>
      <c r="AP361" s="249"/>
      <c r="AQ361" s="249"/>
      <c r="AR361" s="249"/>
      <c r="AS361" s="249"/>
      <c r="AT361" s="249"/>
      <c r="AU361" s="249"/>
      <c r="AV361" s="249"/>
      <c r="AW361" s="249"/>
      <c r="AX361" s="249"/>
      <c r="AY361" s="249"/>
      <c r="AZ361" s="249"/>
      <c r="BA361" s="249"/>
      <c r="BB361" s="249"/>
      <c r="BC361" s="249"/>
      <c r="BD361" s="249"/>
      <c r="BE361" s="249"/>
      <c r="BF361" s="249"/>
      <c r="BG361" s="249"/>
      <c r="BH361" s="249"/>
      <c r="BI361" s="249"/>
      <c r="BJ361" s="249"/>
      <c r="BK361" s="249"/>
      <c r="BL361" s="249"/>
      <c r="BM361" s="249"/>
      <c r="BN361" s="249"/>
      <c r="BO361" s="249"/>
      <c r="BP361" s="249"/>
      <c r="BQ361" s="249"/>
      <c r="BR361" s="249"/>
      <c r="BS361" s="249"/>
      <c r="BT361" s="249"/>
      <c r="BU361" s="249"/>
      <c r="BV361" s="249"/>
      <c r="BW361" s="249"/>
      <c r="BX361" s="249"/>
      <c r="BY361" s="249"/>
      <c r="BZ361" s="249"/>
      <c r="CA361" s="249"/>
      <c r="CB361" s="249"/>
      <c r="CC361" s="249"/>
      <c r="CD361" s="249"/>
      <c r="CE361" s="249"/>
      <c r="CF361" s="249"/>
      <c r="CG361" s="249"/>
      <c r="CH361" s="249"/>
      <c r="CI361" s="249"/>
      <c r="CJ361" s="249"/>
      <c r="CK361" s="249"/>
      <c r="CL361" s="249"/>
      <c r="CM361" s="249"/>
      <c r="CN361" s="249"/>
      <c r="CO361" s="249"/>
      <c r="CP361" s="249"/>
      <c r="CQ361" s="249"/>
      <c r="CR361" s="249"/>
      <c r="CS361" s="249"/>
      <c r="CT361" s="249"/>
      <c r="CU361" s="249"/>
      <c r="CV361" s="249"/>
      <c r="CW361" s="249"/>
      <c r="CX361" s="249"/>
      <c r="CY361" s="249"/>
      <c r="CZ361" s="249"/>
      <c r="DA361" s="249"/>
      <c r="DB361" s="249"/>
      <c r="DC361" s="249"/>
      <c r="DD361" s="249"/>
      <c r="DE361" s="249"/>
      <c r="DF361" s="249"/>
      <c r="DG361" s="249"/>
      <c r="DH361" s="249"/>
      <c r="DI361" s="249"/>
      <c r="DJ361" s="249"/>
      <c r="DK361" s="249"/>
      <c r="DL361" s="249"/>
      <c r="DM361" s="249"/>
      <c r="DN361" s="249"/>
      <c r="DO361" s="249"/>
      <c r="DP361" s="249"/>
      <c r="DQ361" s="249"/>
      <c r="DR361" s="249"/>
      <c r="DS361" s="249"/>
      <c r="DT361" s="249"/>
    </row>
    <row r="362" spans="3:124" s="178" customFormat="1" hidden="1">
      <c r="C362" s="249" t="s">
        <v>277</v>
      </c>
      <c r="D362" s="249">
        <v>100</v>
      </c>
      <c r="E362" s="249">
        <v>100</v>
      </c>
      <c r="F362" s="249">
        <v>99.9</v>
      </c>
      <c r="G362" s="249">
        <v>99.6</v>
      </c>
      <c r="H362" s="249">
        <v>96.7</v>
      </c>
      <c r="I362" s="249">
        <v>87.2</v>
      </c>
      <c r="J362" s="249">
        <v>71.2</v>
      </c>
      <c r="K362" s="249">
        <v>50.9</v>
      </c>
      <c r="L362" s="249">
        <v>32.200000000000003</v>
      </c>
      <c r="M362" s="249">
        <v>17.399999999999999</v>
      </c>
      <c r="N362" s="249">
        <v>8.1</v>
      </c>
      <c r="O362" s="249">
        <v>3.1</v>
      </c>
      <c r="P362" s="249">
        <v>1.2</v>
      </c>
      <c r="Q362" s="249">
        <v>0.3</v>
      </c>
      <c r="R362" s="249">
        <v>0.1</v>
      </c>
      <c r="S362" s="249">
        <v>0</v>
      </c>
      <c r="T362" s="249">
        <v>0</v>
      </c>
      <c r="U362" s="249">
        <v>0</v>
      </c>
      <c r="V362" s="249">
        <v>0</v>
      </c>
      <c r="W362" s="249">
        <v>0</v>
      </c>
      <c r="X362" s="249"/>
      <c r="Y362" s="249"/>
      <c r="Z362" s="249"/>
      <c r="AA362" s="249"/>
      <c r="AB362" s="249"/>
      <c r="AC362" s="249"/>
      <c r="AD362" s="249"/>
      <c r="AE362" s="249"/>
      <c r="AF362" s="249"/>
      <c r="AG362" s="249"/>
      <c r="AH362" s="249"/>
      <c r="AI362" s="249"/>
      <c r="AJ362" s="249"/>
      <c r="AK362" s="249"/>
      <c r="AL362" s="249"/>
      <c r="AM362" s="249"/>
      <c r="AN362" s="249"/>
      <c r="AO362" s="249"/>
      <c r="AP362" s="249"/>
      <c r="AQ362" s="249"/>
      <c r="AR362" s="249"/>
      <c r="AS362" s="249"/>
      <c r="AT362" s="249"/>
      <c r="AU362" s="249"/>
      <c r="AV362" s="249"/>
      <c r="AW362" s="249"/>
      <c r="AX362" s="249"/>
      <c r="AY362" s="249"/>
      <c r="AZ362" s="249"/>
      <c r="BA362" s="249"/>
      <c r="BB362" s="249"/>
      <c r="BC362" s="249"/>
      <c r="BD362" s="249"/>
      <c r="BE362" s="249"/>
      <c r="BF362" s="249"/>
      <c r="BG362" s="249"/>
      <c r="BH362" s="249"/>
      <c r="BI362" s="249"/>
      <c r="BJ362" s="249"/>
      <c r="BK362" s="249"/>
      <c r="BL362" s="249"/>
      <c r="BM362" s="249"/>
      <c r="BN362" s="249"/>
      <c r="BO362" s="249"/>
      <c r="BP362" s="249"/>
      <c r="BQ362" s="249"/>
      <c r="BR362" s="249"/>
      <c r="BS362" s="249"/>
      <c r="BT362" s="249"/>
      <c r="BU362" s="249"/>
      <c r="BV362" s="249"/>
      <c r="BW362" s="249"/>
      <c r="BX362" s="249"/>
      <c r="BY362" s="249"/>
      <c r="BZ362" s="249"/>
      <c r="CA362" s="249"/>
      <c r="CB362" s="249"/>
      <c r="CC362" s="249"/>
      <c r="CD362" s="249"/>
      <c r="CE362" s="249"/>
      <c r="CF362" s="249"/>
      <c r="CG362" s="249"/>
      <c r="CH362" s="249"/>
      <c r="CI362" s="249"/>
      <c r="CJ362" s="249"/>
      <c r="CK362" s="249"/>
      <c r="CL362" s="249"/>
      <c r="CM362" s="249"/>
      <c r="CN362" s="249"/>
      <c r="CO362" s="249"/>
      <c r="CP362" s="249"/>
      <c r="CQ362" s="249"/>
      <c r="CR362" s="249"/>
      <c r="CS362" s="249"/>
      <c r="CT362" s="249"/>
      <c r="CU362" s="249"/>
      <c r="CV362" s="249"/>
      <c r="CW362" s="249"/>
      <c r="CX362" s="249"/>
      <c r="CY362" s="249"/>
      <c r="CZ362" s="249"/>
      <c r="DA362" s="249"/>
      <c r="DB362" s="249"/>
      <c r="DC362" s="249"/>
      <c r="DD362" s="249"/>
      <c r="DE362" s="249"/>
      <c r="DF362" s="249"/>
      <c r="DG362" s="249"/>
      <c r="DH362" s="249"/>
      <c r="DI362" s="249"/>
      <c r="DJ362" s="249"/>
      <c r="DK362" s="249"/>
      <c r="DL362" s="249"/>
      <c r="DM362" s="249"/>
      <c r="DN362" s="249"/>
      <c r="DO362" s="249"/>
      <c r="DP362" s="249"/>
      <c r="DQ362" s="249"/>
      <c r="DR362" s="249"/>
      <c r="DS362" s="249"/>
      <c r="DT362" s="249"/>
    </row>
    <row r="363" spans="3:124" s="178" customFormat="1" hidden="1">
      <c r="C363" s="249" t="s">
        <v>278</v>
      </c>
      <c r="D363" s="249">
        <v>100</v>
      </c>
      <c r="E363" s="249">
        <v>100</v>
      </c>
      <c r="F363" s="249">
        <v>100</v>
      </c>
      <c r="G363" s="249">
        <v>99.8</v>
      </c>
      <c r="H363" s="249">
        <v>98.5</v>
      </c>
      <c r="I363" s="249">
        <v>92.3</v>
      </c>
      <c r="J363" s="249">
        <v>79</v>
      </c>
      <c r="K363" s="249">
        <v>58</v>
      </c>
      <c r="L363" s="249">
        <v>37.700000000000003</v>
      </c>
      <c r="M363" s="249">
        <v>21.5</v>
      </c>
      <c r="N363" s="249">
        <v>10.199999999999999</v>
      </c>
      <c r="O363" s="249">
        <v>4.2</v>
      </c>
      <c r="P363" s="249">
        <v>1.9</v>
      </c>
      <c r="Q363" s="249">
        <v>0.8</v>
      </c>
      <c r="R363" s="249">
        <v>0.4</v>
      </c>
      <c r="S363" s="249">
        <v>0.3</v>
      </c>
      <c r="T363" s="249">
        <v>0.2</v>
      </c>
      <c r="U363" s="249">
        <v>0.1</v>
      </c>
      <c r="V363" s="249">
        <v>0</v>
      </c>
      <c r="W363" s="249">
        <v>0</v>
      </c>
      <c r="X363" s="249"/>
      <c r="Y363" s="249"/>
      <c r="Z363" s="249"/>
      <c r="AA363" s="249"/>
      <c r="AB363" s="249"/>
      <c r="AC363" s="249"/>
      <c r="AD363" s="249"/>
      <c r="AE363" s="249"/>
      <c r="AF363" s="249"/>
      <c r="AG363" s="249"/>
      <c r="AH363" s="249"/>
      <c r="AI363" s="249"/>
      <c r="AJ363" s="249"/>
      <c r="AK363" s="249"/>
      <c r="AL363" s="249"/>
      <c r="AM363" s="249"/>
      <c r="AN363" s="249"/>
      <c r="AO363" s="249"/>
      <c r="AP363" s="249"/>
      <c r="AQ363" s="249"/>
      <c r="AR363" s="249"/>
      <c r="AS363" s="249"/>
      <c r="AT363" s="249"/>
      <c r="AU363" s="249"/>
      <c r="AV363" s="249"/>
      <c r="AW363" s="249"/>
      <c r="AX363" s="249"/>
      <c r="AY363" s="249"/>
      <c r="AZ363" s="249"/>
      <c r="BA363" s="249"/>
      <c r="BB363" s="249"/>
      <c r="BC363" s="249"/>
      <c r="BD363" s="249"/>
      <c r="BE363" s="249"/>
      <c r="BF363" s="249"/>
      <c r="BG363" s="249"/>
      <c r="BH363" s="249"/>
      <c r="BI363" s="249"/>
      <c r="BJ363" s="249"/>
      <c r="BK363" s="249"/>
      <c r="BL363" s="249"/>
      <c r="BM363" s="249"/>
      <c r="BN363" s="249"/>
      <c r="BO363" s="249"/>
      <c r="BP363" s="249"/>
      <c r="BQ363" s="249"/>
      <c r="BR363" s="249"/>
      <c r="BS363" s="249"/>
      <c r="BT363" s="249"/>
      <c r="BU363" s="249"/>
      <c r="BV363" s="249"/>
      <c r="BW363" s="249"/>
      <c r="BX363" s="249"/>
      <c r="BY363" s="249"/>
      <c r="BZ363" s="249"/>
      <c r="CA363" s="249"/>
      <c r="CB363" s="249"/>
      <c r="CC363" s="249"/>
      <c r="CD363" s="249"/>
      <c r="CE363" s="249"/>
      <c r="CF363" s="249"/>
      <c r="CG363" s="249"/>
      <c r="CH363" s="249"/>
      <c r="CI363" s="249"/>
      <c r="CJ363" s="249"/>
      <c r="CK363" s="249"/>
      <c r="CL363" s="249"/>
      <c r="CM363" s="249"/>
      <c r="CN363" s="249"/>
      <c r="CO363" s="249"/>
      <c r="CP363" s="249"/>
      <c r="CQ363" s="249"/>
      <c r="CR363" s="249"/>
      <c r="CS363" s="249"/>
      <c r="CT363" s="249"/>
      <c r="CU363" s="249"/>
      <c r="CV363" s="249"/>
      <c r="CW363" s="249"/>
      <c r="CX363" s="249"/>
      <c r="CY363" s="249"/>
      <c r="CZ363" s="249"/>
      <c r="DA363" s="249"/>
      <c r="DB363" s="249"/>
      <c r="DC363" s="249"/>
      <c r="DD363" s="249"/>
      <c r="DE363" s="249"/>
      <c r="DF363" s="249"/>
      <c r="DG363" s="249"/>
      <c r="DH363" s="249"/>
      <c r="DI363" s="249"/>
      <c r="DJ363" s="249"/>
      <c r="DK363" s="249"/>
      <c r="DL363" s="249"/>
      <c r="DM363" s="249"/>
      <c r="DN363" s="249"/>
      <c r="DO363" s="249"/>
      <c r="DP363" s="249"/>
      <c r="DQ363" s="249"/>
      <c r="DR363" s="249"/>
      <c r="DS363" s="249"/>
      <c r="DT363" s="249"/>
    </row>
    <row r="364" spans="3:124" s="178" customFormat="1" hidden="1">
      <c r="C364" s="249" t="s">
        <v>279</v>
      </c>
      <c r="D364" s="249">
        <v>100</v>
      </c>
      <c r="E364" s="249">
        <v>100</v>
      </c>
      <c r="F364" s="249">
        <v>100</v>
      </c>
      <c r="G364" s="249">
        <v>100</v>
      </c>
      <c r="H364" s="249">
        <v>99</v>
      </c>
      <c r="I364" s="249">
        <v>94.6</v>
      </c>
      <c r="J364" s="249">
        <v>82.2</v>
      </c>
      <c r="K364" s="249">
        <v>63.8</v>
      </c>
      <c r="L364" s="249">
        <v>42.5</v>
      </c>
      <c r="M364" s="249">
        <v>23.9</v>
      </c>
      <c r="N364" s="249">
        <v>11.5</v>
      </c>
      <c r="O364" s="249">
        <v>5</v>
      </c>
      <c r="P364" s="249">
        <v>2.4</v>
      </c>
      <c r="Q364" s="249">
        <v>0.8</v>
      </c>
      <c r="R364" s="249">
        <v>0.4</v>
      </c>
      <c r="S364" s="249">
        <v>0.3</v>
      </c>
      <c r="T364" s="249">
        <v>0.2</v>
      </c>
      <c r="U364" s="249">
        <v>0.1</v>
      </c>
      <c r="V364" s="249">
        <v>0.1</v>
      </c>
      <c r="W364" s="249">
        <v>0</v>
      </c>
      <c r="X364" s="249"/>
      <c r="Y364" s="249"/>
      <c r="Z364" s="249"/>
      <c r="AA364" s="249"/>
      <c r="AB364" s="249"/>
      <c r="AC364" s="249"/>
      <c r="AD364" s="249"/>
      <c r="AE364" s="249"/>
      <c r="AF364" s="249"/>
      <c r="AG364" s="249"/>
      <c r="AH364" s="249"/>
      <c r="AI364" s="249"/>
      <c r="AJ364" s="249"/>
      <c r="AK364" s="249"/>
      <c r="AL364" s="249"/>
      <c r="AM364" s="249"/>
      <c r="AN364" s="249"/>
      <c r="AO364" s="249"/>
      <c r="AP364" s="249"/>
      <c r="AQ364" s="249"/>
      <c r="AR364" s="249"/>
      <c r="AS364" s="249"/>
      <c r="AT364" s="249"/>
      <c r="AU364" s="249"/>
      <c r="AV364" s="249"/>
      <c r="AW364" s="249"/>
      <c r="AX364" s="249"/>
      <c r="AY364" s="249"/>
      <c r="AZ364" s="249"/>
      <c r="BA364" s="249"/>
      <c r="BB364" s="249"/>
      <c r="BC364" s="249"/>
      <c r="BD364" s="249"/>
      <c r="BE364" s="249"/>
      <c r="BF364" s="249"/>
      <c r="BG364" s="249"/>
      <c r="BH364" s="249"/>
      <c r="BI364" s="249"/>
      <c r="BJ364" s="249"/>
      <c r="BK364" s="249"/>
      <c r="BL364" s="249"/>
      <c r="BM364" s="249"/>
      <c r="BN364" s="249"/>
      <c r="BO364" s="249"/>
      <c r="BP364" s="249"/>
      <c r="BQ364" s="249"/>
      <c r="BR364" s="249"/>
      <c r="BS364" s="249"/>
      <c r="BT364" s="249"/>
      <c r="BU364" s="249"/>
      <c r="BV364" s="249"/>
      <c r="BW364" s="249"/>
      <c r="BX364" s="249"/>
      <c r="BY364" s="249"/>
      <c r="BZ364" s="249"/>
      <c r="CA364" s="249"/>
      <c r="CB364" s="249"/>
      <c r="CC364" s="249"/>
      <c r="CD364" s="249"/>
      <c r="CE364" s="249"/>
      <c r="CF364" s="249"/>
      <c r="CG364" s="249"/>
      <c r="CH364" s="249"/>
      <c r="CI364" s="249"/>
      <c r="CJ364" s="249"/>
      <c r="CK364" s="249"/>
      <c r="CL364" s="249"/>
      <c r="CM364" s="249"/>
      <c r="CN364" s="249"/>
      <c r="CO364" s="249"/>
      <c r="CP364" s="249"/>
      <c r="CQ364" s="249"/>
      <c r="CR364" s="249"/>
      <c r="CS364" s="249"/>
      <c r="CT364" s="249"/>
      <c r="CU364" s="249"/>
      <c r="CV364" s="249"/>
      <c r="CW364" s="249"/>
      <c r="CX364" s="249"/>
      <c r="CY364" s="249"/>
      <c r="CZ364" s="249"/>
      <c r="DA364" s="249"/>
      <c r="DB364" s="249"/>
      <c r="DC364" s="249"/>
      <c r="DD364" s="249"/>
      <c r="DE364" s="249"/>
      <c r="DF364" s="249"/>
      <c r="DG364" s="249"/>
      <c r="DH364" s="249"/>
      <c r="DI364" s="249"/>
      <c r="DJ364" s="249"/>
      <c r="DK364" s="249"/>
      <c r="DL364" s="249"/>
      <c r="DM364" s="249"/>
      <c r="DN364" s="249"/>
      <c r="DO364" s="249"/>
      <c r="DP364" s="249"/>
      <c r="DQ364" s="249"/>
      <c r="DR364" s="249"/>
      <c r="DS364" s="249"/>
      <c r="DT364" s="249"/>
    </row>
    <row r="365" spans="3:124" s="178" customFormat="1" hidden="1">
      <c r="C365" s="249"/>
      <c r="D365" s="249"/>
      <c r="E365" s="249"/>
      <c r="F365" s="249"/>
      <c r="G365" s="249"/>
      <c r="H365" s="249"/>
      <c r="I365" s="249"/>
      <c r="J365" s="249"/>
      <c r="K365" s="249"/>
      <c r="L365" s="249"/>
      <c r="M365" s="249"/>
      <c r="N365" s="249"/>
      <c r="O365" s="249"/>
      <c r="P365" s="249"/>
      <c r="Q365" s="249"/>
      <c r="R365" s="249"/>
      <c r="S365" s="249"/>
      <c r="T365" s="249"/>
      <c r="U365" s="249"/>
      <c r="V365" s="249"/>
      <c r="W365" s="249"/>
      <c r="X365" s="249"/>
      <c r="Y365" s="249"/>
      <c r="Z365" s="249"/>
      <c r="AA365" s="249"/>
      <c r="AB365" s="249"/>
      <c r="AC365" s="249"/>
      <c r="AD365" s="249"/>
      <c r="AE365" s="249"/>
      <c r="AF365" s="249"/>
      <c r="AG365" s="249"/>
      <c r="AH365" s="249"/>
      <c r="AI365" s="249"/>
      <c r="AJ365" s="249"/>
      <c r="AK365" s="249"/>
      <c r="AL365" s="249"/>
      <c r="AM365" s="249"/>
      <c r="AN365" s="249"/>
      <c r="AO365" s="249"/>
      <c r="AP365" s="249"/>
      <c r="AQ365" s="249"/>
      <c r="AR365" s="249"/>
      <c r="AS365" s="249"/>
      <c r="AT365" s="249"/>
      <c r="AU365" s="249"/>
      <c r="AV365" s="249"/>
      <c r="AW365" s="249"/>
      <c r="AX365" s="249"/>
      <c r="AY365" s="249"/>
      <c r="AZ365" s="249"/>
      <c r="BA365" s="249"/>
      <c r="BB365" s="249"/>
      <c r="BC365" s="249"/>
      <c r="BD365" s="249"/>
      <c r="BE365" s="249"/>
      <c r="BF365" s="249"/>
      <c r="BG365" s="249"/>
      <c r="BH365" s="249"/>
      <c r="BI365" s="249"/>
      <c r="BJ365" s="249"/>
      <c r="BK365" s="249"/>
      <c r="BL365" s="249"/>
      <c r="BM365" s="249"/>
      <c r="BN365" s="249"/>
      <c r="BO365" s="249"/>
      <c r="BP365" s="249"/>
      <c r="BQ365" s="249"/>
      <c r="BR365" s="249"/>
      <c r="BS365" s="249"/>
      <c r="BT365" s="249"/>
      <c r="BU365" s="249"/>
      <c r="BV365" s="249"/>
      <c r="BW365" s="249"/>
      <c r="BX365" s="249"/>
      <c r="BY365" s="249"/>
      <c r="BZ365" s="249"/>
      <c r="CA365" s="249"/>
      <c r="CB365" s="249"/>
      <c r="CC365" s="249"/>
      <c r="CD365" s="249"/>
      <c r="CE365" s="249"/>
      <c r="CF365" s="249"/>
      <c r="CG365" s="249"/>
      <c r="CH365" s="249"/>
      <c r="CI365" s="249"/>
      <c r="CJ365" s="249"/>
      <c r="CK365" s="249"/>
      <c r="CL365" s="249"/>
      <c r="CM365" s="249"/>
      <c r="CN365" s="249"/>
      <c r="CO365" s="249"/>
      <c r="CP365" s="249"/>
      <c r="CQ365" s="249"/>
      <c r="CR365" s="249"/>
      <c r="CS365" s="249"/>
      <c r="CT365" s="249"/>
      <c r="CU365" s="249"/>
      <c r="CV365" s="249"/>
      <c r="CW365" s="249"/>
      <c r="CX365" s="249"/>
      <c r="CY365" s="249"/>
      <c r="CZ365" s="249"/>
      <c r="DA365" s="249"/>
      <c r="DB365" s="249"/>
      <c r="DC365" s="249"/>
      <c r="DD365" s="249"/>
      <c r="DE365" s="249"/>
      <c r="DF365" s="249"/>
      <c r="DG365" s="249"/>
      <c r="DH365" s="249"/>
      <c r="DI365" s="249"/>
      <c r="DJ365" s="249"/>
      <c r="DK365" s="249"/>
      <c r="DL365" s="249"/>
      <c r="DM365" s="249"/>
      <c r="DN365" s="249"/>
      <c r="DO365" s="249"/>
      <c r="DP365" s="249"/>
      <c r="DQ365" s="249"/>
      <c r="DR365" s="249"/>
      <c r="DS365" s="249"/>
      <c r="DT365" s="249"/>
    </row>
    <row r="366" spans="3:124" s="178" customFormat="1" hidden="1">
      <c r="C366" s="249" t="s">
        <v>91</v>
      </c>
      <c r="D366" s="249">
        <v>100</v>
      </c>
      <c r="E366" s="249">
        <v>97</v>
      </c>
      <c r="F366" s="249">
        <v>88</v>
      </c>
      <c r="G366" s="249">
        <v>81</v>
      </c>
      <c r="H366" s="249">
        <v>73</v>
      </c>
      <c r="I366" s="249">
        <v>66</v>
      </c>
      <c r="J366" s="249">
        <v>60</v>
      </c>
      <c r="K366" s="249">
        <v>54</v>
      </c>
      <c r="L366" s="249">
        <v>48</v>
      </c>
      <c r="M366" s="249">
        <v>43</v>
      </c>
      <c r="N366" s="249">
        <v>37</v>
      </c>
      <c r="O366" s="249">
        <v>32</v>
      </c>
      <c r="P366" s="249">
        <v>28</v>
      </c>
      <c r="Q366" s="249">
        <v>24</v>
      </c>
      <c r="R366" s="249">
        <v>20</v>
      </c>
      <c r="S366" s="249">
        <v>19</v>
      </c>
      <c r="T366" s="249">
        <v>16</v>
      </c>
      <c r="U366" s="249">
        <v>13</v>
      </c>
      <c r="V366" s="249">
        <v>11</v>
      </c>
      <c r="W366" s="249">
        <v>9</v>
      </c>
      <c r="X366" s="249">
        <v>7</v>
      </c>
      <c r="Y366" s="249">
        <v>6</v>
      </c>
      <c r="Z366" s="249">
        <v>5</v>
      </c>
      <c r="AA366" s="249">
        <v>4</v>
      </c>
      <c r="AB366" s="249">
        <v>3</v>
      </c>
      <c r="AC366" s="249">
        <v>3</v>
      </c>
      <c r="AD366" s="249">
        <v>2</v>
      </c>
      <c r="AE366" s="249">
        <v>2</v>
      </c>
      <c r="AF366" s="249">
        <v>1</v>
      </c>
      <c r="AG366" s="249">
        <v>1</v>
      </c>
      <c r="AH366" s="249">
        <v>1</v>
      </c>
      <c r="AI366" s="249">
        <v>1</v>
      </c>
      <c r="AJ366" s="249">
        <v>1</v>
      </c>
      <c r="AK366" s="249">
        <v>1</v>
      </c>
      <c r="AL366" s="249">
        <v>0.4</v>
      </c>
      <c r="AM366" s="249">
        <v>0.3</v>
      </c>
      <c r="AN366" s="249">
        <v>0.3</v>
      </c>
      <c r="AO366" s="249">
        <v>0.3</v>
      </c>
      <c r="AP366" s="249">
        <v>0.2</v>
      </c>
      <c r="AQ366" s="249">
        <v>0.2</v>
      </c>
      <c r="AR366" s="249">
        <v>0.1</v>
      </c>
      <c r="AS366" s="249"/>
      <c r="AT366" s="249"/>
      <c r="AU366" s="249"/>
      <c r="AV366" s="249"/>
      <c r="AW366" s="249"/>
      <c r="AX366" s="249"/>
      <c r="AY366" s="249"/>
      <c r="AZ366" s="249"/>
      <c r="BA366" s="249"/>
      <c r="BB366" s="249"/>
      <c r="BC366" s="249"/>
      <c r="BD366" s="249"/>
      <c r="BE366" s="249"/>
      <c r="BF366" s="249"/>
      <c r="BG366" s="249"/>
      <c r="BH366" s="249"/>
      <c r="BI366" s="249"/>
      <c r="BJ366" s="249"/>
      <c r="BK366" s="249"/>
      <c r="BL366" s="249"/>
      <c r="BM366" s="249"/>
      <c r="BN366" s="249"/>
      <c r="BO366" s="249"/>
      <c r="BP366" s="249"/>
      <c r="BQ366" s="249"/>
      <c r="BR366" s="249"/>
      <c r="BS366" s="249"/>
      <c r="BT366" s="249"/>
      <c r="BU366" s="249"/>
      <c r="BV366" s="249"/>
      <c r="BW366" s="249"/>
      <c r="BX366" s="249"/>
      <c r="BY366" s="249"/>
      <c r="BZ366" s="249"/>
      <c r="CA366" s="249"/>
      <c r="CB366" s="249"/>
      <c r="CC366" s="249"/>
      <c r="CD366" s="249"/>
      <c r="CE366" s="249"/>
      <c r="CF366" s="249"/>
      <c r="CG366" s="249"/>
      <c r="CH366" s="249"/>
      <c r="CI366" s="249"/>
      <c r="CJ366" s="249"/>
      <c r="CK366" s="249"/>
      <c r="CL366" s="249"/>
      <c r="CM366" s="249"/>
      <c r="CN366" s="249"/>
      <c r="CO366" s="249"/>
      <c r="CP366" s="249"/>
      <c r="CQ366" s="249"/>
      <c r="CR366" s="249"/>
      <c r="CS366" s="249"/>
      <c r="CT366" s="249"/>
      <c r="CU366" s="249"/>
      <c r="CV366" s="249"/>
      <c r="CW366" s="249"/>
      <c r="CX366" s="249"/>
      <c r="CY366" s="249"/>
      <c r="CZ366" s="249"/>
      <c r="DA366" s="249"/>
      <c r="DB366" s="249"/>
      <c r="DC366" s="249"/>
      <c r="DD366" s="249"/>
      <c r="DE366" s="249"/>
      <c r="DF366" s="249"/>
      <c r="DG366" s="249"/>
      <c r="DH366" s="249"/>
      <c r="DI366" s="249"/>
      <c r="DJ366" s="249"/>
      <c r="DK366" s="249"/>
      <c r="DL366" s="249"/>
      <c r="DM366" s="249"/>
      <c r="DN366" s="249"/>
      <c r="DO366" s="249"/>
      <c r="DP366" s="249"/>
      <c r="DQ366" s="249"/>
      <c r="DR366" s="249"/>
      <c r="DS366" s="249"/>
      <c r="DT366" s="249"/>
    </row>
    <row r="367" spans="3:124" s="178" customFormat="1" hidden="1">
      <c r="C367" s="249" t="s">
        <v>276</v>
      </c>
      <c r="D367" s="249">
        <v>100</v>
      </c>
      <c r="E367" s="249">
        <v>100</v>
      </c>
      <c r="F367" s="249">
        <v>99.7</v>
      </c>
      <c r="G367" s="249">
        <v>96.8</v>
      </c>
      <c r="H367" s="249">
        <v>87.3</v>
      </c>
      <c r="I367" s="249">
        <v>70.099999999999994</v>
      </c>
      <c r="J367" s="249">
        <v>50.7</v>
      </c>
      <c r="K367" s="249">
        <v>32.4</v>
      </c>
      <c r="L367" s="249">
        <v>18.2</v>
      </c>
      <c r="M367" s="249">
        <v>8.9</v>
      </c>
      <c r="N367" s="249">
        <v>4.2</v>
      </c>
      <c r="O367" s="249">
        <v>1.9</v>
      </c>
      <c r="P367" s="249">
        <v>0.8</v>
      </c>
      <c r="Q367" s="249">
        <v>0.3</v>
      </c>
      <c r="R367" s="249">
        <v>0.2</v>
      </c>
      <c r="S367" s="249">
        <v>0.2</v>
      </c>
      <c r="T367" s="249">
        <v>0</v>
      </c>
      <c r="U367" s="249">
        <v>0</v>
      </c>
      <c r="V367" s="249">
        <v>0</v>
      </c>
      <c r="W367" s="249"/>
      <c r="X367" s="249"/>
      <c r="Y367" s="249"/>
      <c r="Z367" s="249"/>
      <c r="AA367" s="249"/>
      <c r="AB367" s="249"/>
      <c r="AC367" s="249"/>
      <c r="AD367" s="249"/>
      <c r="AE367" s="249"/>
      <c r="AF367" s="249"/>
      <c r="AG367" s="249"/>
      <c r="AH367" s="249"/>
      <c r="AI367" s="249"/>
      <c r="AJ367" s="249"/>
      <c r="AK367" s="249"/>
      <c r="AL367" s="249"/>
      <c r="AM367" s="249"/>
      <c r="AN367" s="249"/>
      <c r="AO367" s="249"/>
      <c r="AP367" s="249"/>
      <c r="AQ367" s="249"/>
      <c r="AR367" s="249"/>
      <c r="AS367" s="249"/>
      <c r="AT367" s="249"/>
      <c r="AU367" s="249"/>
      <c r="AV367" s="249"/>
      <c r="AW367" s="249"/>
      <c r="AX367" s="249"/>
      <c r="AY367" s="249"/>
      <c r="AZ367" s="249"/>
      <c r="BA367" s="249"/>
      <c r="BB367" s="249"/>
      <c r="BC367" s="249"/>
      <c r="BD367" s="249"/>
      <c r="BE367" s="249"/>
      <c r="BF367" s="249"/>
      <c r="BG367" s="249"/>
      <c r="BH367" s="249"/>
      <c r="BI367" s="249"/>
      <c r="BJ367" s="249"/>
      <c r="BK367" s="249"/>
      <c r="BL367" s="249"/>
      <c r="BM367" s="249"/>
      <c r="BN367" s="249"/>
      <c r="BO367" s="249"/>
      <c r="BP367" s="249"/>
      <c r="BQ367" s="249"/>
      <c r="BR367" s="249"/>
      <c r="BS367" s="249"/>
      <c r="BT367" s="249"/>
      <c r="BU367" s="249"/>
      <c r="BV367" s="249"/>
      <c r="BW367" s="249"/>
      <c r="BX367" s="249"/>
      <c r="BY367" s="249"/>
      <c r="BZ367" s="249"/>
      <c r="CA367" s="249"/>
      <c r="CB367" s="249"/>
      <c r="CC367" s="249"/>
      <c r="CD367" s="249"/>
      <c r="CE367" s="249"/>
      <c r="CF367" s="249"/>
      <c r="CG367" s="249"/>
      <c r="CH367" s="249"/>
      <c r="CI367" s="249"/>
      <c r="CJ367" s="249"/>
      <c r="CK367" s="249"/>
      <c r="CL367" s="249"/>
      <c r="CM367" s="249"/>
      <c r="CN367" s="249"/>
      <c r="CO367" s="249"/>
      <c r="CP367" s="249"/>
      <c r="CQ367" s="249"/>
      <c r="CR367" s="249"/>
      <c r="CS367" s="249"/>
      <c r="CT367" s="249"/>
      <c r="CU367" s="249"/>
      <c r="CV367" s="249"/>
      <c r="CW367" s="249"/>
      <c r="CX367" s="249"/>
      <c r="CY367" s="249"/>
      <c r="CZ367" s="249"/>
      <c r="DA367" s="249"/>
      <c r="DB367" s="249"/>
      <c r="DC367" s="249"/>
      <c r="DD367" s="249"/>
      <c r="DE367" s="249"/>
      <c r="DF367" s="249"/>
      <c r="DG367" s="249"/>
      <c r="DH367" s="249"/>
      <c r="DI367" s="249"/>
      <c r="DJ367" s="249"/>
      <c r="DK367" s="249"/>
      <c r="DL367" s="249"/>
      <c r="DM367" s="249"/>
      <c r="DN367" s="249"/>
      <c r="DO367" s="249"/>
      <c r="DP367" s="249"/>
      <c r="DQ367" s="249"/>
      <c r="DR367" s="249"/>
      <c r="DS367" s="249"/>
      <c r="DT367" s="249"/>
    </row>
    <row r="368" spans="3:124" s="178" customFormat="1" hidden="1">
      <c r="C368" s="249" t="s">
        <v>276</v>
      </c>
      <c r="D368" s="249">
        <v>100</v>
      </c>
      <c r="E368" s="249">
        <v>100</v>
      </c>
      <c r="F368" s="249">
        <v>99.7</v>
      </c>
      <c r="G368" s="249">
        <v>96.8</v>
      </c>
      <c r="H368" s="249">
        <v>87.3</v>
      </c>
      <c r="I368" s="249">
        <v>70.099999999999994</v>
      </c>
      <c r="J368" s="249">
        <v>50.7</v>
      </c>
      <c r="K368" s="249">
        <v>32.4</v>
      </c>
      <c r="L368" s="249">
        <v>18.2</v>
      </c>
      <c r="M368" s="249">
        <v>8.9</v>
      </c>
      <c r="N368" s="249">
        <v>4.2</v>
      </c>
      <c r="O368" s="249">
        <v>1.9</v>
      </c>
      <c r="P368" s="249">
        <v>0.8</v>
      </c>
      <c r="Q368" s="249">
        <v>0.3</v>
      </c>
      <c r="R368" s="249">
        <v>0.2</v>
      </c>
      <c r="S368" s="249">
        <v>0.2</v>
      </c>
      <c r="T368" s="249">
        <v>0</v>
      </c>
      <c r="U368" s="249">
        <v>0</v>
      </c>
      <c r="V368" s="249">
        <v>0</v>
      </c>
      <c r="W368" s="249"/>
      <c r="X368" s="249"/>
      <c r="Y368" s="249"/>
      <c r="Z368" s="249"/>
      <c r="AA368" s="249"/>
      <c r="AB368" s="249"/>
      <c r="AC368" s="249"/>
      <c r="AD368" s="249"/>
      <c r="AE368" s="249"/>
      <c r="AF368" s="249"/>
      <c r="AG368" s="249"/>
      <c r="AH368" s="249"/>
      <c r="AI368" s="249"/>
      <c r="AJ368" s="249"/>
      <c r="AK368" s="249"/>
      <c r="AL368" s="249"/>
      <c r="AM368" s="249"/>
      <c r="AN368" s="249"/>
      <c r="AO368" s="249"/>
      <c r="AP368" s="249"/>
      <c r="AQ368" s="249"/>
      <c r="AR368" s="249"/>
      <c r="AS368" s="249"/>
      <c r="AT368" s="249"/>
      <c r="AU368" s="249"/>
      <c r="AV368" s="249"/>
      <c r="AW368" s="249"/>
      <c r="AX368" s="249"/>
      <c r="AY368" s="249"/>
      <c r="AZ368" s="249"/>
      <c r="BA368" s="249"/>
      <c r="BB368" s="249"/>
      <c r="BC368" s="249"/>
      <c r="BD368" s="249"/>
      <c r="BE368" s="249"/>
      <c r="BF368" s="249"/>
      <c r="BG368" s="249"/>
      <c r="BH368" s="249"/>
      <c r="BI368" s="249"/>
      <c r="BJ368" s="249"/>
      <c r="BK368" s="249"/>
      <c r="BL368" s="249"/>
      <c r="BM368" s="249"/>
      <c r="BN368" s="249"/>
      <c r="BO368" s="249"/>
      <c r="BP368" s="249"/>
      <c r="BQ368" s="249"/>
      <c r="BR368" s="249"/>
      <c r="BS368" s="249"/>
      <c r="BT368" s="249"/>
      <c r="BU368" s="249"/>
      <c r="BV368" s="249"/>
      <c r="BW368" s="249"/>
      <c r="BX368" s="249"/>
      <c r="BY368" s="249"/>
      <c r="BZ368" s="249"/>
      <c r="CA368" s="249"/>
      <c r="CB368" s="249"/>
      <c r="CC368" s="249"/>
      <c r="CD368" s="249"/>
      <c r="CE368" s="249"/>
      <c r="CF368" s="249"/>
      <c r="CG368" s="249"/>
      <c r="CH368" s="249"/>
      <c r="CI368" s="249"/>
      <c r="CJ368" s="249"/>
      <c r="CK368" s="249"/>
      <c r="CL368" s="249"/>
      <c r="CM368" s="249"/>
      <c r="CN368" s="249"/>
      <c r="CO368" s="249"/>
      <c r="CP368" s="249"/>
      <c r="CQ368" s="249"/>
      <c r="CR368" s="249"/>
      <c r="CS368" s="249"/>
      <c r="CT368" s="249"/>
      <c r="CU368" s="249"/>
      <c r="CV368" s="249"/>
      <c r="CW368" s="249"/>
      <c r="CX368" s="249"/>
      <c r="CY368" s="249"/>
      <c r="CZ368" s="249"/>
      <c r="DA368" s="249"/>
      <c r="DB368" s="249"/>
      <c r="DC368" s="249"/>
      <c r="DD368" s="249"/>
      <c r="DE368" s="249"/>
      <c r="DF368" s="249"/>
      <c r="DG368" s="249"/>
      <c r="DH368" s="249"/>
      <c r="DI368" s="249"/>
      <c r="DJ368" s="249"/>
      <c r="DK368" s="249"/>
      <c r="DL368" s="249"/>
      <c r="DM368" s="249"/>
      <c r="DN368" s="249"/>
      <c r="DO368" s="249"/>
      <c r="DP368" s="249"/>
      <c r="DQ368" s="249"/>
      <c r="DR368" s="249"/>
      <c r="DS368" s="249"/>
      <c r="DT368" s="249"/>
    </row>
    <row r="369" spans="2:34" s="178" customFormat="1" hidden="1">
      <c r="B369" s="249"/>
      <c r="C369" s="249"/>
      <c r="D369" s="249"/>
      <c r="E369" s="249"/>
      <c r="F369" s="249"/>
      <c r="G369" s="249"/>
      <c r="H369" s="249"/>
      <c r="I369" s="249"/>
      <c r="J369" s="249"/>
      <c r="K369" s="249"/>
      <c r="L369" s="249"/>
      <c r="M369" s="249"/>
      <c r="N369" s="249"/>
      <c r="O369" s="249"/>
      <c r="P369" s="249"/>
      <c r="Q369" s="249"/>
      <c r="R369" s="249"/>
      <c r="S369" s="249"/>
      <c r="T369" s="249"/>
      <c r="U369" s="249"/>
      <c r="V369" s="249"/>
      <c r="W369" s="249"/>
      <c r="X369" s="249"/>
      <c r="Y369" s="249"/>
      <c r="Z369" s="249"/>
      <c r="AA369" s="249"/>
      <c r="AB369" s="249"/>
      <c r="AC369" s="249"/>
      <c r="AD369" s="249"/>
      <c r="AE369" s="249"/>
      <c r="AF369" s="249"/>
      <c r="AG369" s="249"/>
      <c r="AH369" s="249"/>
    </row>
    <row r="370" spans="2:34" s="178" customFormat="1" hidden="1">
      <c r="B370" s="249"/>
      <c r="C370" s="249" t="s">
        <v>280</v>
      </c>
      <c r="D370" s="249">
        <v>1</v>
      </c>
      <c r="E370" s="249">
        <v>2</v>
      </c>
      <c r="F370" s="249">
        <v>5</v>
      </c>
      <c r="G370" s="249">
        <v>10</v>
      </c>
      <c r="H370" s="249">
        <v>25</v>
      </c>
      <c r="I370" s="249">
        <v>50</v>
      </c>
      <c r="J370" s="249"/>
      <c r="K370" s="249"/>
      <c r="L370" s="249"/>
      <c r="M370" s="249"/>
      <c r="N370" s="249" t="s">
        <v>281</v>
      </c>
      <c r="O370" s="249">
        <v>1</v>
      </c>
      <c r="P370" s="249">
        <v>2</v>
      </c>
      <c r="Q370" s="249">
        <v>5</v>
      </c>
      <c r="R370" s="249">
        <v>10</v>
      </c>
      <c r="S370" s="249">
        <v>25</v>
      </c>
      <c r="T370" s="249">
        <v>50</v>
      </c>
      <c r="U370" s="249"/>
      <c r="V370" s="249"/>
      <c r="W370" s="249"/>
      <c r="X370" s="249"/>
      <c r="Y370" s="249" t="s">
        <v>282</v>
      </c>
      <c r="Z370" s="249">
        <v>1</v>
      </c>
      <c r="AA370" s="249">
        <v>2</v>
      </c>
      <c r="AB370" s="249">
        <v>5</v>
      </c>
      <c r="AC370" s="249">
        <v>10</v>
      </c>
      <c r="AD370" s="249">
        <v>25</v>
      </c>
      <c r="AE370" s="249">
        <v>50</v>
      </c>
      <c r="AF370" s="249"/>
      <c r="AG370" s="249"/>
      <c r="AH370" s="249"/>
    </row>
    <row r="371" spans="2:34" s="178" customFormat="1" hidden="1">
      <c r="B371" s="249"/>
      <c r="C371" s="249">
        <v>16</v>
      </c>
      <c r="D371" s="249">
        <v>0</v>
      </c>
      <c r="E371" s="249">
        <v>4</v>
      </c>
      <c r="F371" s="249">
        <v>7</v>
      </c>
      <c r="G371" s="249">
        <v>9</v>
      </c>
      <c r="H371" s="249">
        <v>13</v>
      </c>
      <c r="I371" s="249">
        <v>15</v>
      </c>
      <c r="J371" s="249"/>
      <c r="K371" s="268" t="str">
        <f t="shared" ref="K371:K383" si="14">IF($O$12="","",LOOKUP($O$12,D371:I371,$D$370:$I$370))</f>
        <v/>
      </c>
      <c r="L371" s="249" t="e">
        <f>LOOKUP(N6,C371:C383,K371:K383)</f>
        <v>#N/A</v>
      </c>
      <c r="M371" s="249"/>
      <c r="N371" s="249">
        <v>16</v>
      </c>
      <c r="O371" s="249">
        <v>0</v>
      </c>
      <c r="P371" s="249">
        <v>5</v>
      </c>
      <c r="Q371" s="249">
        <v>6</v>
      </c>
      <c r="R371" s="249">
        <v>6</v>
      </c>
      <c r="S371" s="249">
        <v>7</v>
      </c>
      <c r="T371" s="249">
        <v>8</v>
      </c>
      <c r="U371" s="249"/>
      <c r="V371" s="268" t="str">
        <f t="shared" ref="V371:V383" si="15">IF($O$13="","",LOOKUP($O$13,O371:T371,$D$370:$I$370))</f>
        <v/>
      </c>
      <c r="W371" s="249" t="e">
        <f>LOOKUP(N6,N371:N383,V371:V383)</f>
        <v>#N/A</v>
      </c>
      <c r="X371" s="249"/>
      <c r="Y371" s="249">
        <v>16</v>
      </c>
      <c r="Z371" s="249">
        <v>0</v>
      </c>
      <c r="AA371" s="249">
        <v>63</v>
      </c>
      <c r="AB371" s="249">
        <v>81</v>
      </c>
      <c r="AC371" s="249">
        <v>92</v>
      </c>
      <c r="AD371" s="249">
        <v>109</v>
      </c>
      <c r="AE371" s="249">
        <v>124</v>
      </c>
      <c r="AF371" s="249"/>
      <c r="AG371" s="269" t="str">
        <f t="shared" ref="AG371:AG383" si="16">IF($O$14="","",LOOKUP($O$14,Z371:AE371,$D$370:$I$370))</f>
        <v/>
      </c>
      <c r="AH371" s="249" t="e">
        <f>LOOKUP(N6,Y371:Y383,AG371:AG383)</f>
        <v>#N/A</v>
      </c>
    </row>
    <row r="372" spans="2:34" s="178" customFormat="1" hidden="1">
      <c r="B372" s="249"/>
      <c r="C372" s="249">
        <v>18</v>
      </c>
      <c r="D372" s="249">
        <v>0</v>
      </c>
      <c r="E372" s="249">
        <v>4</v>
      </c>
      <c r="F372" s="249">
        <v>6</v>
      </c>
      <c r="G372" s="249">
        <v>9</v>
      </c>
      <c r="H372" s="249">
        <v>12</v>
      </c>
      <c r="I372" s="249">
        <v>15</v>
      </c>
      <c r="J372" s="249"/>
      <c r="K372" s="268" t="str">
        <f t="shared" si="14"/>
        <v/>
      </c>
      <c r="L372" s="249"/>
      <c r="M372" s="249"/>
      <c r="N372" s="249">
        <v>18</v>
      </c>
      <c r="O372" s="249">
        <v>0</v>
      </c>
      <c r="P372" s="249">
        <v>4</v>
      </c>
      <c r="Q372" s="249">
        <v>5</v>
      </c>
      <c r="R372" s="249">
        <v>6</v>
      </c>
      <c r="S372" s="249">
        <v>7</v>
      </c>
      <c r="T372" s="249">
        <v>8</v>
      </c>
      <c r="U372" s="249"/>
      <c r="V372" s="268" t="str">
        <f t="shared" si="15"/>
        <v/>
      </c>
      <c r="W372" s="249"/>
      <c r="X372" s="249"/>
      <c r="Y372" s="249">
        <v>18</v>
      </c>
      <c r="Z372" s="249">
        <v>0</v>
      </c>
      <c r="AA372" s="249">
        <v>49</v>
      </c>
      <c r="AB372" s="249">
        <v>77</v>
      </c>
      <c r="AC372" s="249">
        <v>102</v>
      </c>
      <c r="AD372" s="249">
        <v>116</v>
      </c>
      <c r="AE372" s="249">
        <v>131</v>
      </c>
      <c r="AF372" s="249"/>
      <c r="AG372" s="269" t="str">
        <f t="shared" si="16"/>
        <v/>
      </c>
      <c r="AH372" s="249"/>
    </row>
    <row r="373" spans="2:34" s="178" customFormat="1" hidden="1">
      <c r="B373" s="249"/>
      <c r="C373" s="249">
        <v>20</v>
      </c>
      <c r="D373" s="249">
        <v>0</v>
      </c>
      <c r="E373" s="249">
        <v>2</v>
      </c>
      <c r="F373" s="249">
        <v>5</v>
      </c>
      <c r="G373" s="249">
        <v>7</v>
      </c>
      <c r="H373" s="249">
        <v>11</v>
      </c>
      <c r="I373" s="249">
        <v>14</v>
      </c>
      <c r="J373" s="249"/>
      <c r="K373" s="268" t="str">
        <f t="shared" si="14"/>
        <v/>
      </c>
      <c r="L373" s="249"/>
      <c r="M373" s="249"/>
      <c r="N373" s="249">
        <v>20</v>
      </c>
      <c r="O373" s="249">
        <v>0</v>
      </c>
      <c r="P373" s="249">
        <v>4</v>
      </c>
      <c r="Q373" s="249">
        <v>5</v>
      </c>
      <c r="R373" s="249">
        <v>6</v>
      </c>
      <c r="S373" s="249">
        <v>7</v>
      </c>
      <c r="T373" s="249">
        <v>8</v>
      </c>
      <c r="U373" s="249"/>
      <c r="V373" s="268" t="str">
        <f t="shared" si="15"/>
        <v/>
      </c>
      <c r="W373" s="249"/>
      <c r="X373" s="249"/>
      <c r="Y373" s="249">
        <v>20</v>
      </c>
      <c r="Z373" s="249">
        <v>0</v>
      </c>
      <c r="AA373" s="249">
        <v>60</v>
      </c>
      <c r="AB373" s="249">
        <v>82</v>
      </c>
      <c r="AC373" s="249">
        <v>93</v>
      </c>
      <c r="AD373" s="249">
        <v>110</v>
      </c>
      <c r="AE373" s="249">
        <v>130</v>
      </c>
      <c r="AF373" s="249"/>
      <c r="AG373" s="269" t="str">
        <f t="shared" si="16"/>
        <v/>
      </c>
      <c r="AH373" s="249"/>
    </row>
    <row r="374" spans="2:34" s="178" customFormat="1" hidden="1">
      <c r="B374" s="249"/>
      <c r="C374" s="249">
        <v>25</v>
      </c>
      <c r="D374" s="249">
        <v>0</v>
      </c>
      <c r="E374" s="249">
        <v>5</v>
      </c>
      <c r="F374" s="249">
        <v>6</v>
      </c>
      <c r="G374" s="249">
        <v>9</v>
      </c>
      <c r="H374" s="249">
        <v>11</v>
      </c>
      <c r="I374" s="249">
        <v>14</v>
      </c>
      <c r="J374" s="249"/>
      <c r="K374" s="268" t="str">
        <f t="shared" si="14"/>
        <v/>
      </c>
      <c r="L374" s="249"/>
      <c r="M374" s="249"/>
      <c r="N374" s="249">
        <v>25</v>
      </c>
      <c r="O374" s="249">
        <v>0</v>
      </c>
      <c r="P374" s="249">
        <v>5</v>
      </c>
      <c r="Q374" s="249">
        <v>5</v>
      </c>
      <c r="R374" s="249">
        <v>6</v>
      </c>
      <c r="S374" s="249">
        <v>7</v>
      </c>
      <c r="T374" s="249">
        <v>8</v>
      </c>
      <c r="U374" s="249"/>
      <c r="V374" s="268" t="str">
        <f t="shared" si="15"/>
        <v/>
      </c>
      <c r="W374" s="249"/>
      <c r="X374" s="249"/>
      <c r="Y374" s="249">
        <v>25</v>
      </c>
      <c r="Z374" s="249">
        <v>0</v>
      </c>
      <c r="AA374" s="249">
        <v>77</v>
      </c>
      <c r="AB374" s="249">
        <v>84</v>
      </c>
      <c r="AC374" s="249">
        <v>92</v>
      </c>
      <c r="AD374" s="249">
        <v>111</v>
      </c>
      <c r="AE374" s="249">
        <v>129</v>
      </c>
      <c r="AF374" s="249"/>
      <c r="AG374" s="269" t="str">
        <f t="shared" si="16"/>
        <v/>
      </c>
      <c r="AH374" s="249"/>
    </row>
    <row r="375" spans="2:34" s="178" customFormat="1" hidden="1">
      <c r="B375" s="249"/>
      <c r="C375" s="249">
        <v>30</v>
      </c>
      <c r="D375" s="249">
        <v>0</v>
      </c>
      <c r="E375" s="249">
        <v>4</v>
      </c>
      <c r="F375" s="249">
        <v>7</v>
      </c>
      <c r="G375" s="249">
        <v>8</v>
      </c>
      <c r="H375" s="249">
        <v>10</v>
      </c>
      <c r="I375" s="249">
        <v>14</v>
      </c>
      <c r="J375" s="249"/>
      <c r="K375" s="268" t="str">
        <f t="shared" si="14"/>
        <v/>
      </c>
      <c r="L375" s="249"/>
      <c r="M375" s="249"/>
      <c r="N375" s="249">
        <v>30</v>
      </c>
      <c r="O375" s="249">
        <v>0</v>
      </c>
      <c r="P375" s="249">
        <v>5</v>
      </c>
      <c r="Q375" s="249">
        <v>5</v>
      </c>
      <c r="R375" s="249">
        <v>6</v>
      </c>
      <c r="S375" s="249">
        <v>7</v>
      </c>
      <c r="T375" s="249">
        <v>8</v>
      </c>
      <c r="U375" s="249"/>
      <c r="V375" s="268" t="str">
        <f t="shared" si="15"/>
        <v/>
      </c>
      <c r="W375" s="249"/>
      <c r="X375" s="249"/>
      <c r="Y375" s="249">
        <v>30</v>
      </c>
      <c r="Z375" s="249">
        <v>0</v>
      </c>
      <c r="AA375" s="249">
        <v>66</v>
      </c>
      <c r="AB375" s="249">
        <v>82</v>
      </c>
      <c r="AC375" s="249">
        <v>93</v>
      </c>
      <c r="AD375" s="249">
        <v>108</v>
      </c>
      <c r="AE375" s="249">
        <v>123</v>
      </c>
      <c r="AF375" s="249"/>
      <c r="AG375" s="269" t="str">
        <f t="shared" si="16"/>
        <v/>
      </c>
      <c r="AH375" s="249"/>
    </row>
    <row r="376" spans="2:34" s="178" customFormat="1" hidden="1">
      <c r="B376" s="249"/>
      <c r="C376" s="249">
        <v>35</v>
      </c>
      <c r="D376" s="249">
        <v>0</v>
      </c>
      <c r="E376" s="249">
        <v>4</v>
      </c>
      <c r="F376" s="249">
        <v>5</v>
      </c>
      <c r="G376" s="249">
        <v>6</v>
      </c>
      <c r="H376" s="249">
        <v>10</v>
      </c>
      <c r="I376" s="249">
        <v>13</v>
      </c>
      <c r="J376" s="249"/>
      <c r="K376" s="268" t="str">
        <f t="shared" si="14"/>
        <v/>
      </c>
      <c r="L376" s="249"/>
      <c r="M376" s="249"/>
      <c r="N376" s="249">
        <v>35</v>
      </c>
      <c r="O376" s="249">
        <v>0</v>
      </c>
      <c r="P376" s="249">
        <v>5</v>
      </c>
      <c r="Q376" s="249">
        <v>5</v>
      </c>
      <c r="R376" s="249">
        <v>6</v>
      </c>
      <c r="S376" s="249">
        <v>6</v>
      </c>
      <c r="T376" s="249">
        <v>7</v>
      </c>
      <c r="U376" s="249"/>
      <c r="V376" s="268" t="str">
        <f t="shared" si="15"/>
        <v/>
      </c>
      <c r="W376" s="249"/>
      <c r="X376" s="249"/>
      <c r="Y376" s="249">
        <v>35</v>
      </c>
      <c r="Z376" s="249">
        <v>0</v>
      </c>
      <c r="AA376" s="249">
        <v>53</v>
      </c>
      <c r="AB376" s="249">
        <v>75</v>
      </c>
      <c r="AC376" s="249">
        <v>90</v>
      </c>
      <c r="AD376" s="249">
        <v>106</v>
      </c>
      <c r="AE376" s="249">
        <v>124</v>
      </c>
      <c r="AF376" s="249"/>
      <c r="AG376" s="269" t="str">
        <f t="shared" si="16"/>
        <v/>
      </c>
      <c r="AH376" s="249"/>
    </row>
    <row r="377" spans="2:34" s="178" customFormat="1" hidden="1">
      <c r="B377" s="249"/>
      <c r="C377" s="249">
        <v>45</v>
      </c>
      <c r="D377" s="249">
        <v>0</v>
      </c>
      <c r="E377" s="249">
        <v>2</v>
      </c>
      <c r="F377" s="249">
        <v>4</v>
      </c>
      <c r="G377" s="249">
        <v>6</v>
      </c>
      <c r="H377" s="249">
        <v>9</v>
      </c>
      <c r="I377" s="249">
        <v>12</v>
      </c>
      <c r="J377" s="249"/>
      <c r="K377" s="268" t="str">
        <f t="shared" si="14"/>
        <v/>
      </c>
      <c r="L377" s="249"/>
      <c r="M377" s="249"/>
      <c r="N377" s="249">
        <v>45</v>
      </c>
      <c r="O377" s="249">
        <v>0</v>
      </c>
      <c r="P377" s="249">
        <v>4</v>
      </c>
      <c r="Q377" s="249">
        <v>5</v>
      </c>
      <c r="R377" s="249">
        <v>5</v>
      </c>
      <c r="S377" s="249">
        <v>6</v>
      </c>
      <c r="T377" s="249">
        <v>7</v>
      </c>
      <c r="U377" s="249"/>
      <c r="V377" s="268" t="str">
        <f t="shared" si="15"/>
        <v/>
      </c>
      <c r="W377" s="249"/>
      <c r="X377" s="249"/>
      <c r="Y377" s="249">
        <v>45</v>
      </c>
      <c r="Z377" s="249">
        <v>0</v>
      </c>
      <c r="AA377" s="249">
        <v>43</v>
      </c>
      <c r="AB377" s="249">
        <v>73</v>
      </c>
      <c r="AC377" s="249">
        <v>82</v>
      </c>
      <c r="AD377" s="249">
        <v>99</v>
      </c>
      <c r="AE377" s="249">
        <v>114</v>
      </c>
      <c r="AF377" s="249"/>
      <c r="AG377" s="269" t="str">
        <f t="shared" si="16"/>
        <v/>
      </c>
      <c r="AH377" s="249"/>
    </row>
    <row r="378" spans="2:34" s="178" customFormat="1" hidden="1">
      <c r="B378" s="249"/>
      <c r="C378" s="249">
        <v>55</v>
      </c>
      <c r="D378" s="249">
        <v>0</v>
      </c>
      <c r="E378" s="249">
        <v>2</v>
      </c>
      <c r="F378" s="249">
        <v>3</v>
      </c>
      <c r="G378" s="249">
        <v>4</v>
      </c>
      <c r="H378" s="249">
        <v>8</v>
      </c>
      <c r="I378" s="249">
        <v>10</v>
      </c>
      <c r="J378" s="249"/>
      <c r="K378" s="268" t="str">
        <f t="shared" si="14"/>
        <v/>
      </c>
      <c r="L378" s="249"/>
      <c r="M378" s="249"/>
      <c r="N378" s="249">
        <v>55</v>
      </c>
      <c r="O378" s="249">
        <v>0</v>
      </c>
      <c r="P378" s="249">
        <v>3</v>
      </c>
      <c r="Q378" s="249">
        <v>4</v>
      </c>
      <c r="R378" s="249">
        <v>5</v>
      </c>
      <c r="S378" s="249">
        <v>6</v>
      </c>
      <c r="T378" s="249">
        <v>7</v>
      </c>
      <c r="U378" s="249"/>
      <c r="V378" s="268" t="str">
        <f t="shared" si="15"/>
        <v/>
      </c>
      <c r="W378" s="249"/>
      <c r="X378" s="249"/>
      <c r="Y378" s="249">
        <v>55</v>
      </c>
      <c r="Z378" s="249">
        <v>0</v>
      </c>
      <c r="AA378" s="249">
        <v>27</v>
      </c>
      <c r="AB378" s="249">
        <v>53</v>
      </c>
      <c r="AC378" s="249">
        <v>65</v>
      </c>
      <c r="AD378" s="249">
        <v>83</v>
      </c>
      <c r="AE378" s="249">
        <v>102</v>
      </c>
      <c r="AF378" s="249"/>
      <c r="AG378" s="269" t="str">
        <f t="shared" si="16"/>
        <v/>
      </c>
      <c r="AH378" s="249"/>
    </row>
    <row r="379" spans="2:34" s="178" customFormat="1" hidden="1">
      <c r="B379" s="249"/>
      <c r="C379" s="249">
        <v>65</v>
      </c>
      <c r="D379" s="249">
        <v>0</v>
      </c>
      <c r="E379" s="249">
        <v>2</v>
      </c>
      <c r="F379" s="249">
        <v>3</v>
      </c>
      <c r="G379" s="249">
        <v>4</v>
      </c>
      <c r="H379" s="249">
        <v>6</v>
      </c>
      <c r="I379" s="249">
        <v>8</v>
      </c>
      <c r="J379" s="249"/>
      <c r="K379" s="268" t="str">
        <f t="shared" si="14"/>
        <v/>
      </c>
      <c r="L379" s="249"/>
      <c r="M379" s="249"/>
      <c r="N379" s="249">
        <v>65</v>
      </c>
      <c r="O379" s="249">
        <v>0</v>
      </c>
      <c r="P379" s="249">
        <v>2</v>
      </c>
      <c r="Q379" s="249">
        <v>4</v>
      </c>
      <c r="R379" s="249">
        <v>5</v>
      </c>
      <c r="S379" s="249">
        <v>6</v>
      </c>
      <c r="T379" s="249">
        <v>7</v>
      </c>
      <c r="U379" s="249"/>
      <c r="V379" s="268" t="str">
        <f t="shared" si="15"/>
        <v/>
      </c>
      <c r="W379" s="249"/>
      <c r="X379" s="249"/>
      <c r="Y379" s="249">
        <v>65</v>
      </c>
      <c r="Z379" s="249">
        <v>0</v>
      </c>
      <c r="AA379" s="249">
        <v>19</v>
      </c>
      <c r="AB379" s="249">
        <v>39</v>
      </c>
      <c r="AC379" s="249">
        <v>59</v>
      </c>
      <c r="AD379" s="249">
        <v>73</v>
      </c>
      <c r="AE379" s="249">
        <v>93</v>
      </c>
      <c r="AF379" s="249"/>
      <c r="AG379" s="269" t="str">
        <f t="shared" si="16"/>
        <v/>
      </c>
      <c r="AH379" s="249"/>
    </row>
    <row r="380" spans="2:34" s="178" customFormat="1" hidden="1">
      <c r="B380" s="249"/>
      <c r="C380" s="249">
        <v>70</v>
      </c>
      <c r="D380" s="249">
        <v>0</v>
      </c>
      <c r="E380" s="249">
        <v>1</v>
      </c>
      <c r="F380" s="249">
        <v>3</v>
      </c>
      <c r="G380" s="249">
        <v>4</v>
      </c>
      <c r="H380" s="249">
        <v>6</v>
      </c>
      <c r="I380" s="249">
        <v>8</v>
      </c>
      <c r="J380" s="249"/>
      <c r="K380" s="268" t="str">
        <f t="shared" si="14"/>
        <v/>
      </c>
      <c r="L380" s="249"/>
      <c r="M380" s="249"/>
      <c r="N380" s="249">
        <v>70</v>
      </c>
      <c r="O380" s="249">
        <v>0</v>
      </c>
      <c r="P380" s="249">
        <v>2</v>
      </c>
      <c r="Q380" s="249">
        <v>4</v>
      </c>
      <c r="R380" s="249">
        <v>5</v>
      </c>
      <c r="S380" s="249">
        <v>6</v>
      </c>
      <c r="T380" s="249">
        <v>7</v>
      </c>
      <c r="U380" s="249"/>
      <c r="V380" s="268" t="str">
        <f t="shared" si="15"/>
        <v/>
      </c>
      <c r="W380" s="249"/>
      <c r="X380" s="249"/>
      <c r="Y380" s="249">
        <v>70</v>
      </c>
      <c r="Z380" s="249">
        <v>0</v>
      </c>
      <c r="AA380" s="249">
        <v>45</v>
      </c>
      <c r="AB380" s="249">
        <v>53</v>
      </c>
      <c r="AC380" s="249">
        <v>60</v>
      </c>
      <c r="AD380" s="249">
        <v>74</v>
      </c>
      <c r="AE380" s="249">
        <v>90</v>
      </c>
      <c r="AF380" s="249"/>
      <c r="AG380" s="269" t="str">
        <f t="shared" si="16"/>
        <v/>
      </c>
      <c r="AH380" s="249"/>
    </row>
    <row r="381" spans="2:34" s="178" customFormat="1" hidden="1">
      <c r="B381" s="249"/>
      <c r="C381" s="249">
        <v>75</v>
      </c>
      <c r="D381" s="249">
        <v>0</v>
      </c>
      <c r="E381" s="249">
        <v>2</v>
      </c>
      <c r="F381" s="249">
        <v>3</v>
      </c>
      <c r="G381" s="249">
        <v>4</v>
      </c>
      <c r="H381" s="249">
        <v>6</v>
      </c>
      <c r="I381" s="249">
        <v>9</v>
      </c>
      <c r="J381" s="249"/>
      <c r="K381" s="268" t="str">
        <f t="shared" si="14"/>
        <v/>
      </c>
      <c r="L381" s="249"/>
      <c r="M381" s="249"/>
      <c r="N381" s="249">
        <v>75</v>
      </c>
      <c r="O381" s="249">
        <v>0</v>
      </c>
      <c r="P381" s="249">
        <v>2</v>
      </c>
      <c r="Q381" s="249">
        <v>4</v>
      </c>
      <c r="R381" s="249">
        <v>4</v>
      </c>
      <c r="S381" s="249">
        <v>5</v>
      </c>
      <c r="T381" s="249">
        <v>6</v>
      </c>
      <c r="U381" s="249"/>
      <c r="V381" s="268" t="str">
        <f t="shared" si="15"/>
        <v/>
      </c>
      <c r="W381" s="249"/>
      <c r="X381" s="249"/>
      <c r="Y381" s="249">
        <v>75</v>
      </c>
      <c r="Z381" s="249">
        <v>0</v>
      </c>
      <c r="AA381" s="249">
        <v>35</v>
      </c>
      <c r="AB381" s="249">
        <v>49</v>
      </c>
      <c r="AC381" s="249">
        <v>55</v>
      </c>
      <c r="AD381" s="249">
        <v>68</v>
      </c>
      <c r="AE381" s="249">
        <v>83</v>
      </c>
      <c r="AF381" s="249"/>
      <c r="AG381" s="269" t="str">
        <f t="shared" si="16"/>
        <v/>
      </c>
      <c r="AH381" s="249"/>
    </row>
    <row r="382" spans="2:34" s="178" customFormat="1" hidden="1">
      <c r="B382" s="249"/>
      <c r="C382" s="249">
        <v>80</v>
      </c>
      <c r="D382" s="249">
        <v>0</v>
      </c>
      <c r="E382" s="249">
        <v>0</v>
      </c>
      <c r="F382" s="249">
        <v>1</v>
      </c>
      <c r="G382" s="249">
        <v>2</v>
      </c>
      <c r="H382" s="249">
        <v>5</v>
      </c>
      <c r="I382" s="249">
        <v>8</v>
      </c>
      <c r="J382" s="249"/>
      <c r="K382" s="268" t="str">
        <f t="shared" si="14"/>
        <v/>
      </c>
      <c r="L382" s="249"/>
      <c r="M382" s="249"/>
      <c r="N382" s="249">
        <v>80</v>
      </c>
      <c r="O382" s="249">
        <v>0</v>
      </c>
      <c r="P382" s="249">
        <v>2</v>
      </c>
      <c r="Q382" s="249">
        <v>3</v>
      </c>
      <c r="R382" s="249">
        <v>4</v>
      </c>
      <c r="S382" s="249">
        <v>5</v>
      </c>
      <c r="T382" s="249">
        <v>6</v>
      </c>
      <c r="U382" s="249"/>
      <c r="V382" s="268" t="str">
        <f t="shared" si="15"/>
        <v/>
      </c>
      <c r="W382" s="249"/>
      <c r="X382" s="249"/>
      <c r="Y382" s="249">
        <v>80</v>
      </c>
      <c r="Z382" s="249">
        <v>0</v>
      </c>
      <c r="AA382" s="249">
        <v>23</v>
      </c>
      <c r="AB382" s="249">
        <v>32</v>
      </c>
      <c r="AC382" s="249">
        <v>45</v>
      </c>
      <c r="AD382" s="249">
        <v>59</v>
      </c>
      <c r="AE382" s="249">
        <v>77</v>
      </c>
      <c r="AF382" s="249"/>
      <c r="AG382" s="269" t="str">
        <f t="shared" si="16"/>
        <v/>
      </c>
      <c r="AH382" s="249"/>
    </row>
    <row r="383" spans="2:34" s="178" customFormat="1" hidden="1">
      <c r="B383" s="249"/>
      <c r="C383" s="249">
        <v>85</v>
      </c>
      <c r="D383" s="249">
        <v>0</v>
      </c>
      <c r="E383" s="249">
        <v>0</v>
      </c>
      <c r="F383" s="249">
        <v>1</v>
      </c>
      <c r="G383" s="249">
        <v>2</v>
      </c>
      <c r="H383" s="249">
        <v>4</v>
      </c>
      <c r="I383" s="249">
        <v>8</v>
      </c>
      <c r="J383" s="249"/>
      <c r="K383" s="268" t="str">
        <f t="shared" si="14"/>
        <v/>
      </c>
      <c r="L383" s="249"/>
      <c r="M383" s="249"/>
      <c r="N383" s="249">
        <v>85</v>
      </c>
      <c r="O383" s="249">
        <v>0</v>
      </c>
      <c r="P383" s="249">
        <v>1</v>
      </c>
      <c r="Q383" s="249">
        <v>3</v>
      </c>
      <c r="R383" s="249">
        <v>4</v>
      </c>
      <c r="S383" s="249">
        <v>5</v>
      </c>
      <c r="T383" s="249">
        <v>6</v>
      </c>
      <c r="U383" s="249"/>
      <c r="V383" s="268" t="str">
        <f t="shared" si="15"/>
        <v/>
      </c>
      <c r="W383" s="249"/>
      <c r="X383" s="249"/>
      <c r="Y383" s="249">
        <v>85</v>
      </c>
      <c r="Z383" s="249">
        <v>0</v>
      </c>
      <c r="AA383" s="249">
        <v>20</v>
      </c>
      <c r="AB383" s="249">
        <v>25</v>
      </c>
      <c r="AC383" s="249">
        <v>37</v>
      </c>
      <c r="AD383" s="249">
        <v>45</v>
      </c>
      <c r="AE383" s="249">
        <v>62</v>
      </c>
      <c r="AF383" s="249"/>
      <c r="AG383" s="269" t="str">
        <f t="shared" si="16"/>
        <v/>
      </c>
      <c r="AH383" s="249"/>
    </row>
    <row r="384" spans="2:34" s="178" customFormat="1" hidden="1">
      <c r="B384" s="249"/>
      <c r="C384" s="249"/>
      <c r="D384" s="249"/>
      <c r="E384" s="249"/>
      <c r="F384" s="249"/>
      <c r="G384" s="249"/>
      <c r="H384" s="249"/>
      <c r="I384" s="249"/>
      <c r="J384" s="249"/>
      <c r="K384" s="249"/>
      <c r="L384" s="249"/>
      <c r="M384" s="249"/>
      <c r="N384" s="249"/>
      <c r="O384" s="249"/>
      <c r="P384" s="249"/>
      <c r="Q384" s="249"/>
      <c r="R384" s="249"/>
      <c r="S384" s="249"/>
      <c r="T384" s="249"/>
      <c r="U384" s="249"/>
      <c r="V384" s="249"/>
      <c r="W384" s="249"/>
      <c r="X384" s="249"/>
      <c r="Y384" s="249"/>
      <c r="Z384" s="249"/>
      <c r="AA384" s="249"/>
      <c r="AB384" s="249"/>
      <c r="AC384" s="249"/>
      <c r="AD384" s="249"/>
      <c r="AE384" s="249"/>
      <c r="AF384" s="249"/>
      <c r="AG384" s="249"/>
      <c r="AH384" s="249"/>
    </row>
    <row r="385" s="178" customFormat="1" hidden="1"/>
    <row r="386" s="178" customFormat="1" hidden="1"/>
    <row r="387" s="178" customFormat="1" hidden="1"/>
    <row r="388" s="178" customFormat="1" hidden="1"/>
    <row r="389" s="178" customFormat="1" hidden="1"/>
    <row r="390" s="178" customFormat="1" hidden="1"/>
    <row r="391" s="178" customFormat="1" hidden="1"/>
    <row r="392" s="178" customFormat="1" hidden="1"/>
    <row r="393" s="178" customFormat="1" hidden="1"/>
    <row r="394" s="178" customFormat="1" hidden="1"/>
    <row r="395" s="178" customFormat="1" hidden="1"/>
    <row r="396" s="178" customFormat="1" hidden="1"/>
    <row r="397" s="178" customFormat="1" hidden="1"/>
    <row r="398" s="178" customFormat="1" hidden="1"/>
    <row r="399" s="178" customFormat="1" hidden="1"/>
    <row r="400" s="178" customFormat="1" hidden="1"/>
    <row r="401" spans="3:30" s="178" customFormat="1" hidden="1">
      <c r="C401" s="249"/>
      <c r="D401" s="249"/>
      <c r="E401" s="249"/>
      <c r="F401" s="249"/>
      <c r="G401" s="249"/>
      <c r="H401" s="249"/>
      <c r="I401" s="249"/>
      <c r="J401" s="249"/>
      <c r="K401" s="249"/>
      <c r="L401" s="249"/>
      <c r="M401" s="249"/>
      <c r="N401" s="249"/>
      <c r="O401" s="249"/>
      <c r="P401" s="249"/>
      <c r="Q401" s="249"/>
      <c r="R401" s="249"/>
      <c r="S401" s="249"/>
      <c r="T401" s="249"/>
      <c r="U401" s="249"/>
      <c r="V401" s="249"/>
      <c r="W401" s="249"/>
      <c r="X401" s="249"/>
      <c r="Y401" s="249"/>
      <c r="Z401" s="249"/>
      <c r="AA401" s="249"/>
      <c r="AB401" s="249"/>
      <c r="AC401" s="249"/>
      <c r="AD401" s="249"/>
    </row>
    <row r="402" spans="3:30" s="178" customFormat="1" hidden="1">
      <c r="C402" s="249"/>
      <c r="D402" s="249"/>
      <c r="E402" s="249"/>
      <c r="F402" s="249"/>
      <c r="G402" s="249"/>
      <c r="H402" s="249"/>
      <c r="I402" s="249"/>
      <c r="J402" s="249"/>
      <c r="K402" s="249"/>
      <c r="L402" s="249"/>
      <c r="M402" s="249"/>
      <c r="N402" s="249"/>
      <c r="O402" s="249"/>
      <c r="P402" s="249"/>
      <c r="Q402" s="249"/>
      <c r="R402" s="249"/>
      <c r="S402" s="249"/>
      <c r="T402" s="249"/>
      <c r="U402" s="249"/>
      <c r="V402" s="249"/>
      <c r="W402" s="249"/>
      <c r="X402" s="249"/>
      <c r="Y402" s="249"/>
      <c r="Z402" s="249"/>
      <c r="AA402" s="249"/>
      <c r="AB402" s="249"/>
      <c r="AC402" s="249"/>
      <c r="AD402" s="249"/>
    </row>
    <row r="403" spans="3:30" s="178" customFormat="1" hidden="1">
      <c r="C403" s="249"/>
      <c r="D403" s="249"/>
      <c r="E403" s="249"/>
      <c r="F403" s="249"/>
      <c r="G403" s="249"/>
      <c r="H403" s="249"/>
      <c r="I403" s="249"/>
      <c r="J403" s="249"/>
      <c r="K403" s="249"/>
      <c r="L403" s="249"/>
      <c r="M403" s="249"/>
      <c r="N403" s="249"/>
      <c r="O403" s="249"/>
      <c r="P403" s="249"/>
      <c r="Q403" s="249"/>
      <c r="R403" s="249"/>
      <c r="S403" s="249"/>
      <c r="T403" s="249"/>
      <c r="U403" s="249"/>
      <c r="V403" s="249"/>
      <c r="W403" s="249"/>
      <c r="X403" s="249"/>
      <c r="Y403" s="249"/>
      <c r="Z403" s="249"/>
      <c r="AA403" s="249"/>
      <c r="AB403" s="249"/>
      <c r="AC403" s="249"/>
      <c r="AD403" s="249"/>
    </row>
    <row r="404" spans="3:30" s="178" customFormat="1" hidden="1">
      <c r="C404" s="249"/>
      <c r="D404" s="249"/>
      <c r="E404" s="249"/>
      <c r="F404" s="249"/>
      <c r="G404" s="249"/>
      <c r="H404" s="249"/>
      <c r="I404" s="249"/>
      <c r="J404" s="249"/>
      <c r="K404" s="249"/>
      <c r="L404" s="249"/>
      <c r="M404" s="249"/>
      <c r="N404" s="249"/>
      <c r="O404" s="249"/>
      <c r="P404" s="249"/>
      <c r="Q404" s="249"/>
      <c r="R404" s="249"/>
      <c r="S404" s="249"/>
      <c r="T404" s="249"/>
      <c r="U404" s="249"/>
      <c r="V404" s="249"/>
      <c r="W404" s="249"/>
      <c r="X404" s="249"/>
      <c r="Y404" s="249"/>
      <c r="Z404" s="249"/>
      <c r="AA404" s="249"/>
      <c r="AB404" s="249"/>
      <c r="AC404" s="249"/>
      <c r="AD404" s="249"/>
    </row>
    <row r="405" spans="3:30" s="178" customFormat="1" hidden="1">
      <c r="C405" s="249"/>
      <c r="D405" s="249"/>
      <c r="E405" s="249"/>
      <c r="F405" s="249"/>
      <c r="G405" s="249"/>
      <c r="H405" s="249"/>
      <c r="I405" s="249"/>
      <c r="J405" s="249"/>
      <c r="K405" s="249"/>
      <c r="L405" s="249"/>
      <c r="M405" s="249"/>
      <c r="N405" s="249"/>
      <c r="O405" s="249"/>
      <c r="P405" s="249"/>
      <c r="Q405" s="249"/>
      <c r="R405" s="249"/>
      <c r="S405" s="249"/>
      <c r="T405" s="249"/>
      <c r="U405" s="249"/>
      <c r="V405" s="249"/>
      <c r="W405" s="249"/>
      <c r="X405" s="249"/>
      <c r="Y405" s="249"/>
      <c r="Z405" s="249"/>
      <c r="AA405" s="249"/>
      <c r="AB405" s="249"/>
      <c r="AC405" s="249"/>
      <c r="AD405" s="249"/>
    </row>
    <row r="406" spans="3:30" s="178" customFormat="1" hidden="1">
      <c r="C406" s="249"/>
      <c r="D406" s="249"/>
      <c r="E406" s="249"/>
      <c r="F406" s="249"/>
      <c r="G406" s="249"/>
      <c r="H406" s="249"/>
      <c r="I406" s="249"/>
      <c r="J406" s="249"/>
      <c r="K406" s="249"/>
      <c r="L406" s="249"/>
      <c r="M406" s="249"/>
      <c r="N406" s="249"/>
      <c r="O406" s="249"/>
      <c r="P406" s="249"/>
      <c r="Q406" s="249"/>
      <c r="R406" s="249"/>
      <c r="S406" s="249"/>
      <c r="T406" s="249"/>
      <c r="U406" s="249"/>
      <c r="V406" s="249"/>
      <c r="W406" s="249"/>
      <c r="X406" s="249"/>
      <c r="Y406" s="249"/>
      <c r="Z406" s="249"/>
      <c r="AA406" s="249"/>
      <c r="AB406" s="249"/>
      <c r="AC406" s="249"/>
      <c r="AD406" s="249"/>
    </row>
    <row r="407" spans="3:30" s="178" customFormat="1" hidden="1">
      <c r="C407" s="249"/>
      <c r="D407" s="249"/>
      <c r="E407" s="249"/>
      <c r="F407" s="249"/>
      <c r="G407" s="249"/>
      <c r="H407" s="249"/>
      <c r="I407" s="249"/>
      <c r="J407" s="249"/>
      <c r="K407" s="249"/>
      <c r="L407" s="249"/>
      <c r="M407" s="249"/>
      <c r="N407" s="249"/>
      <c r="O407" s="249"/>
      <c r="P407" s="249"/>
      <c r="Q407" s="249"/>
      <c r="R407" s="249"/>
      <c r="S407" s="249"/>
      <c r="T407" s="249"/>
      <c r="U407" s="249"/>
      <c r="V407" s="249"/>
      <c r="W407" s="249"/>
      <c r="X407" s="249"/>
      <c r="Y407" s="249"/>
      <c r="Z407" s="249"/>
      <c r="AA407" s="249"/>
      <c r="AB407" s="249"/>
      <c r="AC407" s="249"/>
      <c r="AD407" s="249"/>
    </row>
    <row r="408" spans="3:30" s="178" customFormat="1" hidden="1">
      <c r="C408" s="249"/>
      <c r="D408" s="249"/>
      <c r="E408" s="249"/>
      <c r="F408" s="249"/>
      <c r="G408" s="249"/>
      <c r="H408" s="249"/>
      <c r="I408" s="249"/>
      <c r="J408" s="249"/>
      <c r="K408" s="249"/>
      <c r="L408" s="249"/>
      <c r="M408" s="249"/>
      <c r="N408" s="249"/>
      <c r="O408" s="249"/>
      <c r="P408" s="249"/>
      <c r="Q408" s="249"/>
      <c r="R408" s="249"/>
      <c r="S408" s="249"/>
      <c r="T408" s="249"/>
      <c r="U408" s="249"/>
      <c r="V408" s="249"/>
      <c r="W408" s="249"/>
      <c r="X408" s="249"/>
      <c r="Y408" s="249"/>
      <c r="Z408" s="249"/>
      <c r="AA408" s="249"/>
      <c r="AB408" s="249"/>
      <c r="AC408" s="249"/>
      <c r="AD408" s="249"/>
    </row>
    <row r="409" spans="3:30" s="178" customFormat="1" hidden="1">
      <c r="C409" s="249"/>
      <c r="D409" s="249"/>
      <c r="E409" s="249"/>
      <c r="F409" s="249"/>
      <c r="G409" s="249"/>
      <c r="H409" s="249"/>
      <c r="I409" s="249"/>
      <c r="J409" s="249"/>
      <c r="K409" s="249"/>
      <c r="L409" s="249"/>
      <c r="M409" s="249"/>
      <c r="N409" s="249"/>
      <c r="O409" s="249"/>
      <c r="P409" s="249"/>
      <c r="Q409" s="249"/>
      <c r="R409" s="249"/>
      <c r="S409" s="249"/>
      <c r="T409" s="249"/>
      <c r="U409" s="249"/>
      <c r="V409" s="249"/>
      <c r="W409" s="249"/>
      <c r="X409" s="249"/>
      <c r="Y409" s="249"/>
      <c r="Z409" s="249"/>
      <c r="AA409" s="249"/>
      <c r="AB409" s="249"/>
      <c r="AC409" s="249"/>
      <c r="AD409" s="249"/>
    </row>
    <row r="410" spans="3:30" s="178" customFormat="1" hidden="1">
      <c r="C410" s="249"/>
      <c r="D410" s="249"/>
      <c r="E410" s="249"/>
      <c r="F410" s="249"/>
      <c r="G410" s="249"/>
      <c r="H410" s="249"/>
      <c r="I410" s="249"/>
      <c r="J410" s="249"/>
      <c r="K410" s="249"/>
      <c r="L410" s="249"/>
      <c r="M410" s="249"/>
      <c r="N410" s="249"/>
      <c r="O410" s="249"/>
      <c r="P410" s="249"/>
      <c r="Q410" s="249"/>
      <c r="R410" s="249"/>
      <c r="S410" s="249"/>
      <c r="T410" s="249"/>
      <c r="U410" s="249"/>
      <c r="V410" s="249"/>
      <c r="W410" s="249"/>
      <c r="X410" s="249"/>
      <c r="Y410" s="249"/>
      <c r="Z410" s="249"/>
      <c r="AA410" s="249"/>
      <c r="AB410" s="249"/>
      <c r="AC410" s="249"/>
      <c r="AD410" s="249"/>
    </row>
    <row r="411" spans="3:30" s="178" customFormat="1" hidden="1">
      <c r="C411" s="249"/>
      <c r="D411" s="249"/>
      <c r="E411" s="249"/>
      <c r="F411" s="249"/>
      <c r="G411" s="249"/>
      <c r="H411" s="249"/>
      <c r="I411" s="249"/>
      <c r="J411" s="249"/>
      <c r="K411" s="249"/>
      <c r="L411" s="249"/>
      <c r="M411" s="249"/>
      <c r="N411" s="249"/>
      <c r="O411" s="249"/>
      <c r="P411" s="249"/>
      <c r="Q411" s="249"/>
      <c r="R411" s="249"/>
      <c r="S411" s="249"/>
      <c r="T411" s="249"/>
      <c r="U411" s="249"/>
      <c r="V411" s="249"/>
      <c r="W411" s="249"/>
      <c r="X411" s="249"/>
      <c r="Y411" s="249"/>
      <c r="Z411" s="249"/>
      <c r="AA411" s="249"/>
      <c r="AB411" s="249"/>
      <c r="AC411" s="249"/>
      <c r="AD411" s="249"/>
    </row>
    <row r="412" spans="3:30" s="178" customFormat="1" hidden="1">
      <c r="C412" s="249"/>
      <c r="D412" s="249">
        <v>1</v>
      </c>
      <c r="E412" s="249">
        <v>70</v>
      </c>
      <c r="F412" s="249">
        <v>80</v>
      </c>
      <c r="G412" s="249">
        <v>90</v>
      </c>
      <c r="H412" s="249">
        <v>110</v>
      </c>
      <c r="I412" s="249">
        <v>120</v>
      </c>
      <c r="J412" s="249">
        <v>130</v>
      </c>
      <c r="K412" s="249"/>
      <c r="L412" s="249"/>
      <c r="M412" s="249"/>
      <c r="N412" s="249"/>
      <c r="O412" s="249"/>
      <c r="P412" s="249"/>
      <c r="Q412" s="249"/>
      <c r="R412" s="249"/>
      <c r="S412" s="249"/>
      <c r="T412" s="249"/>
      <c r="U412" s="249"/>
      <c r="V412" s="249"/>
      <c r="W412" s="249"/>
      <c r="X412" s="252"/>
      <c r="Y412" s="252"/>
      <c r="Z412" s="252"/>
      <c r="AA412" s="252"/>
      <c r="AB412" s="249"/>
      <c r="AC412" s="249"/>
      <c r="AD412" s="252"/>
    </row>
    <row r="413" spans="3:30" s="178" customFormat="1" hidden="1">
      <c r="C413" s="249"/>
      <c r="D413" s="249" t="s">
        <v>283</v>
      </c>
      <c r="E413" s="249" t="s">
        <v>284</v>
      </c>
      <c r="F413" s="249" t="s">
        <v>285</v>
      </c>
      <c r="G413" s="249" t="s">
        <v>286</v>
      </c>
      <c r="H413" s="249" t="s">
        <v>287</v>
      </c>
      <c r="I413" s="249" t="s">
        <v>288</v>
      </c>
      <c r="J413" s="249" t="s">
        <v>289</v>
      </c>
      <c r="K413" s="249"/>
      <c r="L413" s="249"/>
      <c r="M413" s="249"/>
      <c r="N413" s="249"/>
      <c r="O413" s="249"/>
      <c r="P413" s="249"/>
      <c r="Q413" s="249"/>
      <c r="R413" s="249"/>
      <c r="S413" s="249"/>
      <c r="T413" s="249"/>
      <c r="U413" s="249"/>
      <c r="V413" s="249"/>
      <c r="W413" s="249"/>
      <c r="X413" s="252"/>
      <c r="Y413" s="252"/>
      <c r="Z413" s="252"/>
      <c r="AA413" s="252"/>
      <c r="AB413" s="249"/>
      <c r="AC413" s="249"/>
      <c r="AD413" s="252"/>
    </row>
    <row r="414" spans="3:30" s="178" customFormat="1" hidden="1">
      <c r="C414" s="249" t="s">
        <v>290</v>
      </c>
      <c r="D414" s="249">
        <v>46</v>
      </c>
      <c r="E414" s="249">
        <v>55</v>
      </c>
      <c r="F414" s="249">
        <v>67</v>
      </c>
      <c r="G414" s="249">
        <v>75</v>
      </c>
      <c r="H414" s="249">
        <v>86</v>
      </c>
      <c r="I414" s="249">
        <v>95</v>
      </c>
      <c r="J414" s="249">
        <v>106</v>
      </c>
      <c r="K414" s="249">
        <v>116</v>
      </c>
      <c r="L414" s="249">
        <v>127</v>
      </c>
      <c r="M414" s="249">
        <v>135</v>
      </c>
      <c r="N414" s="249">
        <v>147</v>
      </c>
      <c r="O414" s="249">
        <v>155</v>
      </c>
      <c r="P414" s="249"/>
      <c r="Q414" s="249"/>
      <c r="R414" s="249"/>
      <c r="S414" s="249"/>
      <c r="T414" s="249"/>
      <c r="U414" s="249"/>
      <c r="V414" s="249"/>
      <c r="W414" s="249"/>
      <c r="X414" s="252"/>
      <c r="Y414" s="252"/>
      <c r="Z414" s="252"/>
      <c r="AA414" s="252"/>
      <c r="AB414" s="249"/>
      <c r="AC414" s="249"/>
      <c r="AD414" s="252"/>
    </row>
    <row r="415" spans="3:30" s="178" customFormat="1" hidden="1">
      <c r="C415" s="249" t="s">
        <v>291</v>
      </c>
      <c r="D415" s="249">
        <v>-4</v>
      </c>
      <c r="E415" s="249">
        <v>-4</v>
      </c>
      <c r="F415" s="249">
        <v>-5</v>
      </c>
      <c r="G415" s="249">
        <v>-5</v>
      </c>
      <c r="H415" s="249">
        <v>-6</v>
      </c>
      <c r="I415" s="249">
        <v>-6</v>
      </c>
      <c r="J415" s="249">
        <v>-7</v>
      </c>
      <c r="K415" s="249">
        <v>-7</v>
      </c>
      <c r="L415" s="249">
        <v>-8</v>
      </c>
      <c r="M415" s="249">
        <v>-8</v>
      </c>
      <c r="N415" s="249">
        <v>-9</v>
      </c>
      <c r="O415" s="249">
        <v>-9</v>
      </c>
      <c r="P415" s="249"/>
      <c r="Q415" s="249"/>
      <c r="R415" s="249"/>
      <c r="S415" s="249"/>
      <c r="T415" s="249"/>
      <c r="U415" s="249"/>
      <c r="V415" s="249"/>
      <c r="W415" s="249"/>
      <c r="X415" s="252"/>
      <c r="Y415" s="252"/>
      <c r="Z415" s="252"/>
      <c r="AA415" s="252"/>
      <c r="AB415" s="249"/>
      <c r="AC415" s="249"/>
      <c r="AD415" s="252"/>
    </row>
    <row r="416" spans="3:30" s="178" customFormat="1" hidden="1">
      <c r="C416" s="249" t="s">
        <v>292</v>
      </c>
      <c r="D416" s="249">
        <v>9</v>
      </c>
      <c r="E416" s="249">
        <v>8</v>
      </c>
      <c r="F416" s="249">
        <v>8</v>
      </c>
      <c r="G416" s="249">
        <v>7</v>
      </c>
      <c r="H416" s="249">
        <v>7</v>
      </c>
      <c r="I416" s="249">
        <v>6</v>
      </c>
      <c r="J416" s="249">
        <v>6</v>
      </c>
      <c r="K416" s="249">
        <v>5</v>
      </c>
      <c r="L416" s="249">
        <v>5</v>
      </c>
      <c r="M416" s="249">
        <v>4</v>
      </c>
      <c r="N416" s="249">
        <v>4</v>
      </c>
      <c r="O416" s="249">
        <v>3</v>
      </c>
      <c r="P416" s="249"/>
      <c r="Q416" s="249"/>
      <c r="R416" s="249"/>
      <c r="S416" s="249"/>
      <c r="T416" s="249"/>
      <c r="U416" s="249"/>
      <c r="V416" s="249"/>
      <c r="W416" s="249"/>
      <c r="X416" s="252"/>
      <c r="Y416" s="252"/>
      <c r="Z416" s="252"/>
      <c r="AA416" s="252"/>
      <c r="AB416" s="249"/>
      <c r="AC416" s="249"/>
      <c r="AD416" s="252"/>
    </row>
    <row r="417" spans="3:29" s="178" customFormat="1" hidden="1">
      <c r="C417" s="249" t="s">
        <v>293</v>
      </c>
      <c r="D417" s="249">
        <v>45</v>
      </c>
      <c r="E417" s="249">
        <v>47</v>
      </c>
      <c r="F417" s="249">
        <v>55</v>
      </c>
      <c r="G417" s="249">
        <v>63</v>
      </c>
      <c r="H417" s="249">
        <v>72</v>
      </c>
      <c r="I417" s="249">
        <v>79</v>
      </c>
      <c r="J417" s="249">
        <v>88</v>
      </c>
      <c r="K417" s="249">
        <v>96</v>
      </c>
      <c r="L417" s="249">
        <v>105</v>
      </c>
      <c r="M417" s="249">
        <v>114</v>
      </c>
      <c r="N417" s="249">
        <v>123</v>
      </c>
      <c r="O417" s="249">
        <v>129</v>
      </c>
      <c r="P417" s="249">
        <v>140</v>
      </c>
      <c r="Q417" s="249">
        <v>146</v>
      </c>
      <c r="R417" s="249">
        <v>155</v>
      </c>
      <c r="S417" s="249"/>
      <c r="T417" s="249"/>
      <c r="U417" s="249"/>
      <c r="V417" s="249"/>
      <c r="W417" s="252"/>
      <c r="X417" s="252"/>
      <c r="Y417" s="252"/>
      <c r="Z417" s="252"/>
      <c r="AA417" s="249"/>
      <c r="AB417" s="249"/>
      <c r="AC417" s="252"/>
    </row>
    <row r="418" spans="3:29" s="178" customFormat="1" hidden="1">
      <c r="C418" s="249" t="s">
        <v>294</v>
      </c>
      <c r="D418" s="249">
        <v>-3</v>
      </c>
      <c r="E418" s="249">
        <v>-4</v>
      </c>
      <c r="F418" s="249">
        <v>-4</v>
      </c>
      <c r="G418" s="249">
        <v>-5</v>
      </c>
      <c r="H418" s="249">
        <v>-5</v>
      </c>
      <c r="I418" s="249">
        <v>-6</v>
      </c>
      <c r="J418" s="249">
        <v>-6</v>
      </c>
      <c r="K418" s="249">
        <v>-7</v>
      </c>
      <c r="L418" s="249">
        <v>-7</v>
      </c>
      <c r="M418" s="249">
        <v>-8</v>
      </c>
      <c r="N418" s="249">
        <v>-8</v>
      </c>
      <c r="O418" s="249">
        <v>-9</v>
      </c>
      <c r="P418" s="249">
        <v>-9</v>
      </c>
      <c r="Q418" s="249">
        <v>-9</v>
      </c>
      <c r="R418" s="249">
        <v>-9</v>
      </c>
      <c r="S418" s="249"/>
      <c r="T418" s="249"/>
      <c r="U418" s="249"/>
      <c r="V418" s="249"/>
      <c r="W418" s="252"/>
      <c r="X418" s="252"/>
      <c r="Y418" s="252"/>
      <c r="Z418" s="252"/>
      <c r="AA418" s="249"/>
      <c r="AB418" s="249"/>
      <c r="AC418" s="252"/>
    </row>
    <row r="419" spans="3:29" s="178" customFormat="1" hidden="1">
      <c r="C419" s="249" t="s">
        <v>295</v>
      </c>
      <c r="D419" s="249">
        <v>10</v>
      </c>
      <c r="E419" s="249">
        <v>10</v>
      </c>
      <c r="F419" s="249">
        <v>9</v>
      </c>
      <c r="G419" s="249">
        <v>9</v>
      </c>
      <c r="H419" s="249">
        <v>8</v>
      </c>
      <c r="I419" s="249">
        <v>8</v>
      </c>
      <c r="J419" s="249">
        <v>7</v>
      </c>
      <c r="K419" s="249">
        <v>7</v>
      </c>
      <c r="L419" s="249">
        <v>6</v>
      </c>
      <c r="M419" s="249">
        <v>6</v>
      </c>
      <c r="N419" s="249">
        <v>5</v>
      </c>
      <c r="O419" s="249">
        <v>5</v>
      </c>
      <c r="P419" s="249">
        <v>4</v>
      </c>
      <c r="Q419" s="249">
        <v>4</v>
      </c>
      <c r="R419" s="249">
        <v>3</v>
      </c>
      <c r="S419" s="249"/>
      <c r="T419" s="249"/>
      <c r="U419" s="249"/>
      <c r="V419" s="249"/>
      <c r="W419" s="252"/>
      <c r="X419" s="252"/>
      <c r="Y419" s="252"/>
      <c r="Z419" s="252"/>
      <c r="AA419" s="249"/>
      <c r="AB419" s="249"/>
      <c r="AC419" s="252"/>
    </row>
    <row r="420" spans="3:29" s="178" customFormat="1" hidden="1">
      <c r="C420" s="249" t="s">
        <v>296</v>
      </c>
      <c r="D420" s="249">
        <v>40</v>
      </c>
      <c r="E420" s="249">
        <v>48</v>
      </c>
      <c r="F420" s="249">
        <v>53</v>
      </c>
      <c r="G420" s="249">
        <v>82</v>
      </c>
      <c r="H420" s="249">
        <v>86</v>
      </c>
      <c r="I420" s="249">
        <v>112</v>
      </c>
      <c r="J420" s="249">
        <v>115</v>
      </c>
      <c r="K420" s="249">
        <v>119</v>
      </c>
      <c r="L420" s="249">
        <v>148</v>
      </c>
      <c r="M420" s="249">
        <v>153</v>
      </c>
      <c r="N420" s="249"/>
      <c r="O420" s="249"/>
      <c r="P420" s="249"/>
      <c r="Q420" s="249"/>
      <c r="R420" s="249"/>
      <c r="S420" s="249"/>
      <c r="T420" s="249"/>
      <c r="U420" s="249"/>
      <c r="V420" s="249"/>
      <c r="W420" s="252"/>
      <c r="X420" s="252"/>
      <c r="Y420" s="252"/>
      <c r="Z420" s="252"/>
      <c r="AA420" s="249"/>
      <c r="AB420" s="249"/>
      <c r="AC420" s="252"/>
    </row>
    <row r="421" spans="3:29" s="178" customFormat="1" hidden="1">
      <c r="C421" s="249" t="s">
        <v>297</v>
      </c>
      <c r="D421" s="249">
        <v>-3</v>
      </c>
      <c r="E421" s="249">
        <v>-3</v>
      </c>
      <c r="F421" s="249">
        <v>-4</v>
      </c>
      <c r="G421" s="249">
        <v>-4</v>
      </c>
      <c r="H421" s="249">
        <v>-5</v>
      </c>
      <c r="I421" s="249">
        <v>-5</v>
      </c>
      <c r="J421" s="249">
        <v>-5</v>
      </c>
      <c r="K421" s="249">
        <v>-6</v>
      </c>
      <c r="L421" s="249">
        <v>-6</v>
      </c>
      <c r="M421" s="249">
        <v>-7</v>
      </c>
      <c r="N421" s="249"/>
      <c r="O421" s="249"/>
      <c r="P421" s="249"/>
      <c r="Q421" s="249"/>
      <c r="R421" s="249"/>
      <c r="S421" s="249"/>
      <c r="T421" s="249"/>
      <c r="U421" s="249"/>
      <c r="V421" s="249"/>
      <c r="W421" s="252"/>
      <c r="X421" s="252"/>
      <c r="Y421" s="252"/>
      <c r="Z421" s="252"/>
      <c r="AA421" s="249"/>
      <c r="AB421" s="249"/>
      <c r="AC421" s="252"/>
    </row>
    <row r="422" spans="3:29" s="178" customFormat="1" hidden="1">
      <c r="C422" s="249" t="s">
        <v>298</v>
      </c>
      <c r="D422" s="249">
        <v>7</v>
      </c>
      <c r="E422" s="249">
        <v>6</v>
      </c>
      <c r="F422" s="249">
        <v>6</v>
      </c>
      <c r="G422" s="249">
        <v>5</v>
      </c>
      <c r="H422" s="249">
        <v>5</v>
      </c>
      <c r="I422" s="249">
        <v>5</v>
      </c>
      <c r="J422" s="249">
        <v>4</v>
      </c>
      <c r="K422" s="249">
        <v>4</v>
      </c>
      <c r="L422" s="249">
        <v>3</v>
      </c>
      <c r="M422" s="249">
        <v>3</v>
      </c>
      <c r="N422" s="249"/>
      <c r="O422" s="249"/>
      <c r="P422" s="249"/>
      <c r="Q422" s="249"/>
      <c r="R422" s="249"/>
      <c r="S422" s="249"/>
      <c r="T422" s="249"/>
      <c r="U422" s="249"/>
      <c r="V422" s="249"/>
      <c r="W422" s="252"/>
      <c r="X422" s="252"/>
      <c r="Y422" s="252"/>
      <c r="Z422" s="252"/>
      <c r="AA422" s="249"/>
      <c r="AB422" s="249"/>
      <c r="AC422" s="252"/>
    </row>
    <row r="423" spans="3:29" s="178" customFormat="1" hidden="1">
      <c r="C423" s="249" t="s">
        <v>25</v>
      </c>
      <c r="D423" s="249">
        <v>46</v>
      </c>
      <c r="E423" s="249">
        <v>49</v>
      </c>
      <c r="F423" s="249">
        <v>56</v>
      </c>
      <c r="G423" s="249">
        <v>60</v>
      </c>
      <c r="H423" s="249">
        <v>64</v>
      </c>
      <c r="I423" s="249">
        <v>68</v>
      </c>
      <c r="J423" s="249">
        <v>73</v>
      </c>
      <c r="K423" s="249">
        <v>75</v>
      </c>
      <c r="L423" s="249">
        <v>83</v>
      </c>
      <c r="M423" s="249">
        <v>85</v>
      </c>
      <c r="N423" s="249">
        <v>91</v>
      </c>
      <c r="O423" s="249">
        <v>94</v>
      </c>
      <c r="P423" s="249">
        <v>100</v>
      </c>
      <c r="Q423" s="249">
        <v>102</v>
      </c>
      <c r="R423" s="249">
        <v>110</v>
      </c>
      <c r="S423" s="249">
        <v>113</v>
      </c>
      <c r="T423" s="249">
        <v>119</v>
      </c>
      <c r="U423" s="249">
        <v>122</v>
      </c>
      <c r="V423" s="249">
        <v>128</v>
      </c>
      <c r="W423" s="249">
        <v>131</v>
      </c>
      <c r="X423" s="252">
        <v>137</v>
      </c>
      <c r="Y423" s="252">
        <v>140</v>
      </c>
      <c r="Z423" s="252">
        <v>145</v>
      </c>
      <c r="AA423" s="252">
        <v>150</v>
      </c>
      <c r="AB423" s="249"/>
      <c r="AC423" s="252"/>
    </row>
    <row r="424" spans="3:29" s="178" customFormat="1" hidden="1">
      <c r="C424" s="249" t="s">
        <v>25</v>
      </c>
      <c r="D424" s="249">
        <v>-3</v>
      </c>
      <c r="E424" s="249">
        <v>-3</v>
      </c>
      <c r="F424" s="249">
        <v>-4</v>
      </c>
      <c r="G424" s="249">
        <v>-4</v>
      </c>
      <c r="H424" s="249">
        <v>-5</v>
      </c>
      <c r="I424" s="249">
        <v>-5</v>
      </c>
      <c r="J424" s="249">
        <v>-6</v>
      </c>
      <c r="K424" s="249">
        <v>-6</v>
      </c>
      <c r="L424" s="249">
        <v>-7</v>
      </c>
      <c r="M424" s="249">
        <v>-7</v>
      </c>
      <c r="N424" s="249">
        <v>-8</v>
      </c>
      <c r="O424" s="249">
        <v>-8</v>
      </c>
      <c r="P424" s="249">
        <v>-9</v>
      </c>
      <c r="Q424" s="249">
        <v>-9</v>
      </c>
      <c r="R424" s="249">
        <v>-10</v>
      </c>
      <c r="S424" s="249">
        <v>-10</v>
      </c>
      <c r="T424" s="249">
        <v>-11</v>
      </c>
      <c r="U424" s="249">
        <v>-11</v>
      </c>
      <c r="V424" s="249">
        <v>-12</v>
      </c>
      <c r="W424" s="249">
        <v>-12</v>
      </c>
      <c r="X424" s="252">
        <v>-13</v>
      </c>
      <c r="Y424" s="252">
        <v>-13</v>
      </c>
      <c r="Z424" s="252">
        <v>-14</v>
      </c>
      <c r="AA424" s="252">
        <v>-14</v>
      </c>
      <c r="AB424" s="249"/>
      <c r="AC424" s="252"/>
    </row>
    <row r="425" spans="3:29" s="178" customFormat="1" hidden="1">
      <c r="C425" s="249" t="s">
        <v>25</v>
      </c>
      <c r="D425" s="249">
        <v>15</v>
      </c>
      <c r="E425" s="249">
        <v>14</v>
      </c>
      <c r="F425" s="249">
        <v>14</v>
      </c>
      <c r="G425" s="249">
        <v>13</v>
      </c>
      <c r="H425" s="249">
        <v>13</v>
      </c>
      <c r="I425" s="249">
        <v>12</v>
      </c>
      <c r="J425" s="249">
        <v>13</v>
      </c>
      <c r="K425" s="249">
        <v>11</v>
      </c>
      <c r="L425" s="249">
        <v>11</v>
      </c>
      <c r="M425" s="249">
        <v>10</v>
      </c>
      <c r="N425" s="249">
        <v>10</v>
      </c>
      <c r="O425" s="249">
        <v>9</v>
      </c>
      <c r="P425" s="249">
        <v>9</v>
      </c>
      <c r="Q425" s="249">
        <v>8</v>
      </c>
      <c r="R425" s="249">
        <v>8</v>
      </c>
      <c r="S425" s="249">
        <v>7</v>
      </c>
      <c r="T425" s="249">
        <v>7</v>
      </c>
      <c r="U425" s="249">
        <v>6</v>
      </c>
      <c r="V425" s="249">
        <v>6</v>
      </c>
      <c r="W425" s="249">
        <v>5</v>
      </c>
      <c r="X425" s="252">
        <v>5</v>
      </c>
      <c r="Y425" s="252">
        <v>4</v>
      </c>
      <c r="Z425" s="252">
        <v>4</v>
      </c>
      <c r="AA425" s="252">
        <v>3</v>
      </c>
      <c r="AB425" s="249"/>
      <c r="AC425" s="252"/>
    </row>
    <row r="426" spans="3:29" s="178" customFormat="1" hidden="1">
      <c r="C426" s="249" t="s">
        <v>299</v>
      </c>
      <c r="D426" s="249">
        <v>45</v>
      </c>
      <c r="E426" s="249">
        <v>50</v>
      </c>
      <c r="F426" s="249">
        <v>54</v>
      </c>
      <c r="G426" s="249">
        <v>63</v>
      </c>
      <c r="H426" s="249">
        <v>67</v>
      </c>
      <c r="I426" s="249">
        <v>75</v>
      </c>
      <c r="J426" s="249">
        <v>78</v>
      </c>
      <c r="K426" s="249">
        <v>86</v>
      </c>
      <c r="L426" s="249">
        <v>91</v>
      </c>
      <c r="M426" s="249">
        <v>100</v>
      </c>
      <c r="N426" s="249">
        <v>103</v>
      </c>
      <c r="O426" s="249">
        <v>113</v>
      </c>
      <c r="P426" s="249">
        <v>116</v>
      </c>
      <c r="Q426" s="249">
        <v>125</v>
      </c>
      <c r="R426" s="249">
        <v>128</v>
      </c>
      <c r="S426" s="249">
        <v>138</v>
      </c>
      <c r="T426" s="249">
        <v>141</v>
      </c>
      <c r="U426" s="249">
        <v>147</v>
      </c>
      <c r="V426" s="249">
        <v>152</v>
      </c>
      <c r="W426" s="252"/>
      <c r="X426" s="252"/>
      <c r="Y426" s="252"/>
      <c r="Z426" s="252"/>
      <c r="AA426" s="249"/>
      <c r="AB426" s="249"/>
      <c r="AC426" s="252"/>
    </row>
    <row r="427" spans="3:29" s="178" customFormat="1" hidden="1">
      <c r="C427" s="249" t="s">
        <v>299</v>
      </c>
      <c r="D427" s="249">
        <v>-3</v>
      </c>
      <c r="E427" s="249">
        <v>-4</v>
      </c>
      <c r="F427" s="249">
        <v>-4</v>
      </c>
      <c r="G427" s="249">
        <v>-5</v>
      </c>
      <c r="H427" s="249">
        <v>-5</v>
      </c>
      <c r="I427" s="249">
        <v>-6</v>
      </c>
      <c r="J427" s="249">
        <v>-6</v>
      </c>
      <c r="K427" s="249">
        <v>-7</v>
      </c>
      <c r="L427" s="249">
        <v>-7</v>
      </c>
      <c r="M427" s="249">
        <v>-8</v>
      </c>
      <c r="N427" s="249">
        <v>-8</v>
      </c>
      <c r="O427" s="249">
        <v>-9</v>
      </c>
      <c r="P427" s="249">
        <v>-9</v>
      </c>
      <c r="Q427" s="249">
        <v>-10</v>
      </c>
      <c r="R427" s="249">
        <v>-10</v>
      </c>
      <c r="S427" s="249">
        <v>-11</v>
      </c>
      <c r="T427" s="249">
        <v>-11</v>
      </c>
      <c r="U427" s="249">
        <v>-12</v>
      </c>
      <c r="V427" s="249">
        <v>-12</v>
      </c>
      <c r="W427" s="252"/>
      <c r="X427" s="252"/>
      <c r="Y427" s="252"/>
      <c r="Z427" s="252"/>
      <c r="AA427" s="249"/>
      <c r="AB427" s="249"/>
      <c r="AC427" s="252"/>
    </row>
    <row r="428" spans="3:29" s="178" customFormat="1" hidden="1">
      <c r="C428" s="249" t="s">
        <v>299</v>
      </c>
      <c r="D428" s="249">
        <v>12</v>
      </c>
      <c r="E428" s="249">
        <v>12</v>
      </c>
      <c r="F428" s="249">
        <v>11</v>
      </c>
      <c r="G428" s="249">
        <v>11</v>
      </c>
      <c r="H428" s="249">
        <v>10</v>
      </c>
      <c r="I428" s="249">
        <v>10</v>
      </c>
      <c r="J428" s="249">
        <v>9</v>
      </c>
      <c r="K428" s="249">
        <v>9</v>
      </c>
      <c r="L428" s="249">
        <v>8</v>
      </c>
      <c r="M428" s="249">
        <v>8</v>
      </c>
      <c r="N428" s="249">
        <v>7</v>
      </c>
      <c r="O428" s="249">
        <v>7</v>
      </c>
      <c r="P428" s="249">
        <v>6</v>
      </c>
      <c r="Q428" s="249">
        <v>6</v>
      </c>
      <c r="R428" s="249">
        <v>5</v>
      </c>
      <c r="S428" s="249">
        <v>5</v>
      </c>
      <c r="T428" s="249">
        <v>4</v>
      </c>
      <c r="U428" s="249">
        <v>4</v>
      </c>
      <c r="V428" s="249">
        <v>3</v>
      </c>
      <c r="W428" s="252"/>
      <c r="X428" s="252"/>
      <c r="Y428" s="252"/>
      <c r="Z428" s="252"/>
      <c r="AA428" s="249"/>
      <c r="AB428" s="249"/>
      <c r="AC428" s="252"/>
    </row>
    <row r="429" spans="3:29" s="178" customFormat="1" hidden="1">
      <c r="C429" s="249" t="s">
        <v>24</v>
      </c>
      <c r="D429" s="249">
        <v>50</v>
      </c>
      <c r="E429" s="249">
        <v>55</v>
      </c>
      <c r="F429" s="249">
        <v>63</v>
      </c>
      <c r="G429" s="249">
        <v>73</v>
      </c>
      <c r="H429" s="249">
        <v>80</v>
      </c>
      <c r="I429" s="249">
        <v>88</v>
      </c>
      <c r="J429" s="249">
        <v>97</v>
      </c>
      <c r="K429" s="249">
        <v>106</v>
      </c>
      <c r="L429" s="249">
        <v>113</v>
      </c>
      <c r="M429" s="249">
        <v>124</v>
      </c>
      <c r="N429" s="249">
        <v>130</v>
      </c>
      <c r="O429" s="249">
        <v>139</v>
      </c>
      <c r="P429" s="249">
        <v>147</v>
      </c>
      <c r="Q429" s="249"/>
      <c r="R429" s="249"/>
      <c r="S429" s="249"/>
      <c r="T429" s="249"/>
      <c r="U429" s="249"/>
      <c r="V429" s="249"/>
      <c r="W429" s="252"/>
      <c r="X429" s="252"/>
      <c r="Y429" s="252"/>
      <c r="Z429" s="252"/>
      <c r="AA429" s="249"/>
      <c r="AB429" s="249"/>
      <c r="AC429" s="252"/>
    </row>
    <row r="430" spans="3:29" s="178" customFormat="1" hidden="1">
      <c r="C430" s="249" t="s">
        <v>300</v>
      </c>
      <c r="D430" s="249">
        <v>-4</v>
      </c>
      <c r="E430" s="249">
        <v>-4</v>
      </c>
      <c r="F430" s="249">
        <v>-5</v>
      </c>
      <c r="G430" s="249">
        <v>-5</v>
      </c>
      <c r="H430" s="249">
        <v>-6</v>
      </c>
      <c r="I430" s="249">
        <v>-6</v>
      </c>
      <c r="J430" s="249">
        <v>-7</v>
      </c>
      <c r="K430" s="249">
        <v>-7</v>
      </c>
      <c r="L430" s="249">
        <v>-8</v>
      </c>
      <c r="M430" s="249">
        <v>-8</v>
      </c>
      <c r="N430" s="249">
        <v>-9</v>
      </c>
      <c r="O430" s="249">
        <v>-9</v>
      </c>
      <c r="P430" s="249">
        <v>-10</v>
      </c>
      <c r="Q430" s="249"/>
      <c r="R430" s="249"/>
      <c r="S430" s="249"/>
      <c r="T430" s="249"/>
      <c r="U430" s="249"/>
      <c r="V430" s="249"/>
      <c r="W430" s="252"/>
      <c r="X430" s="252"/>
      <c r="Y430" s="252"/>
      <c r="Z430" s="252"/>
      <c r="AA430" s="249"/>
      <c r="AB430" s="249"/>
      <c r="AC430" s="252"/>
    </row>
    <row r="431" spans="3:29" s="178" customFormat="1" hidden="1">
      <c r="C431" s="249" t="s">
        <v>301</v>
      </c>
      <c r="D431" s="249">
        <v>10</v>
      </c>
      <c r="E431" s="249">
        <v>9</v>
      </c>
      <c r="F431" s="249">
        <v>9</v>
      </c>
      <c r="G431" s="249">
        <v>8</v>
      </c>
      <c r="H431" s="249">
        <v>8</v>
      </c>
      <c r="I431" s="249">
        <v>7</v>
      </c>
      <c r="J431" s="249">
        <v>7</v>
      </c>
      <c r="K431" s="249">
        <v>6</v>
      </c>
      <c r="L431" s="249">
        <v>6</v>
      </c>
      <c r="M431" s="249">
        <v>5</v>
      </c>
      <c r="N431" s="249">
        <v>5</v>
      </c>
      <c r="O431" s="249">
        <v>4</v>
      </c>
      <c r="P431" s="249">
        <v>4</v>
      </c>
      <c r="Q431" s="249"/>
      <c r="R431" s="249"/>
      <c r="S431" s="249"/>
      <c r="T431" s="249"/>
      <c r="U431" s="249"/>
      <c r="V431" s="249"/>
      <c r="W431" s="252"/>
      <c r="X431" s="252"/>
      <c r="Y431" s="252"/>
      <c r="Z431" s="252"/>
      <c r="AA431" s="249"/>
      <c r="AB431" s="249"/>
      <c r="AC431" s="252"/>
    </row>
    <row r="432" spans="3:29" s="178" customFormat="1" hidden="1">
      <c r="C432" s="249" t="s">
        <v>302</v>
      </c>
      <c r="D432" s="249">
        <v>54</v>
      </c>
      <c r="E432" s="249">
        <v>57</v>
      </c>
      <c r="F432" s="249">
        <v>63</v>
      </c>
      <c r="G432" s="249">
        <v>71</v>
      </c>
      <c r="H432" s="249">
        <v>73</v>
      </c>
      <c r="I432" s="249">
        <v>79</v>
      </c>
      <c r="J432" s="249">
        <v>81</v>
      </c>
      <c r="K432" s="249">
        <v>88</v>
      </c>
      <c r="L432" s="249">
        <v>96</v>
      </c>
      <c r="M432" s="249">
        <v>99</v>
      </c>
      <c r="N432" s="249">
        <v>106</v>
      </c>
      <c r="O432" s="249">
        <v>114</v>
      </c>
      <c r="P432" s="249">
        <v>122</v>
      </c>
      <c r="Q432" s="249">
        <v>131</v>
      </c>
      <c r="R432" s="249">
        <v>140</v>
      </c>
      <c r="S432" s="249">
        <v>148</v>
      </c>
      <c r="T432" s="249"/>
      <c r="U432" s="249"/>
      <c r="V432" s="249"/>
      <c r="W432" s="252"/>
      <c r="X432" s="252"/>
      <c r="Y432" s="252"/>
      <c r="Z432" s="252"/>
      <c r="AA432" s="249"/>
      <c r="AB432" s="249"/>
      <c r="AC432" s="252"/>
    </row>
    <row r="433" spans="3:29" s="178" customFormat="1" hidden="1">
      <c r="C433" s="249" t="s">
        <v>303</v>
      </c>
      <c r="D433" s="249">
        <v>-3</v>
      </c>
      <c r="E433" s="249">
        <v>-4</v>
      </c>
      <c r="F433" s="249">
        <v>-5</v>
      </c>
      <c r="G433" s="249">
        <v>-5</v>
      </c>
      <c r="H433" s="249">
        <v>-6</v>
      </c>
      <c r="I433" s="249">
        <v>-6</v>
      </c>
      <c r="J433" s="249">
        <v>-7</v>
      </c>
      <c r="K433" s="249">
        <v>-8</v>
      </c>
      <c r="L433" s="249">
        <v>-8</v>
      </c>
      <c r="M433" s="249">
        <v>-9</v>
      </c>
      <c r="N433" s="249">
        <v>-10</v>
      </c>
      <c r="O433" s="249">
        <v>-11</v>
      </c>
      <c r="P433" s="249">
        <v>-12</v>
      </c>
      <c r="Q433" s="249">
        <v>-13</v>
      </c>
      <c r="R433" s="249">
        <v>-14</v>
      </c>
      <c r="S433" s="249">
        <v>-15</v>
      </c>
      <c r="T433" s="249"/>
      <c r="U433" s="249"/>
      <c r="V433" s="249"/>
      <c r="W433" s="252"/>
      <c r="X433" s="252"/>
      <c r="Y433" s="252"/>
      <c r="Z433" s="252"/>
      <c r="AA433" s="249"/>
      <c r="AB433" s="249"/>
      <c r="AC433" s="252"/>
    </row>
    <row r="434" spans="3:29" s="178" customFormat="1" hidden="1">
      <c r="C434" s="249" t="s">
        <v>304</v>
      </c>
      <c r="D434" s="249">
        <v>14</v>
      </c>
      <c r="E434" s="249">
        <v>14</v>
      </c>
      <c r="F434" s="249">
        <v>13</v>
      </c>
      <c r="G434" s="249">
        <v>12</v>
      </c>
      <c r="H434" s="249">
        <v>12</v>
      </c>
      <c r="I434" s="249">
        <v>11</v>
      </c>
      <c r="J434" s="249">
        <v>11</v>
      </c>
      <c r="K434" s="249">
        <v>10</v>
      </c>
      <c r="L434" s="249">
        <v>9</v>
      </c>
      <c r="M434" s="249">
        <v>9</v>
      </c>
      <c r="N434" s="249">
        <v>8</v>
      </c>
      <c r="O434" s="249">
        <v>7</v>
      </c>
      <c r="P434" s="249">
        <v>6</v>
      </c>
      <c r="Q434" s="249">
        <v>5</v>
      </c>
      <c r="R434" s="249">
        <v>4</v>
      </c>
      <c r="S434" s="249">
        <v>3</v>
      </c>
      <c r="T434" s="249"/>
      <c r="U434" s="249"/>
      <c r="V434" s="249"/>
      <c r="W434" s="252"/>
      <c r="X434" s="252"/>
      <c r="Y434" s="252"/>
      <c r="Z434" s="252"/>
      <c r="AA434" s="249"/>
      <c r="AB434" s="249"/>
      <c r="AC434" s="252"/>
    </row>
    <row r="435" spans="3:29" s="178" customFormat="1" hidden="1">
      <c r="C435" s="249"/>
      <c r="D435" s="249"/>
      <c r="E435" s="249"/>
      <c r="F435" s="249"/>
      <c r="G435" s="249"/>
      <c r="H435" s="249"/>
      <c r="I435" s="249"/>
      <c r="J435" s="249"/>
      <c r="K435" s="249"/>
      <c r="L435" s="249"/>
      <c r="M435" s="249"/>
      <c r="N435" s="249"/>
      <c r="O435" s="249"/>
      <c r="P435" s="249"/>
      <c r="Q435" s="249"/>
      <c r="R435" s="249"/>
      <c r="S435" s="249"/>
      <c r="T435" s="249"/>
      <c r="U435" s="249"/>
      <c r="V435" s="249"/>
      <c r="W435" s="249"/>
      <c r="X435" s="249"/>
      <c r="Y435" s="249"/>
      <c r="Z435" s="249"/>
      <c r="AA435" s="249"/>
      <c r="AB435" s="249"/>
      <c r="AC435" s="249"/>
    </row>
    <row r="436" spans="3:29" s="178" customFormat="1" hidden="1">
      <c r="C436" s="249"/>
      <c r="D436" s="249"/>
      <c r="E436" s="249"/>
      <c r="F436" s="249"/>
      <c r="G436" s="249"/>
      <c r="H436" s="249"/>
      <c r="I436" s="249"/>
      <c r="J436" s="249"/>
      <c r="K436" s="249"/>
      <c r="L436" s="249"/>
      <c r="M436" s="249"/>
      <c r="N436" s="249"/>
      <c r="O436" s="249"/>
      <c r="P436" s="249"/>
      <c r="Q436" s="249"/>
      <c r="R436" s="249"/>
      <c r="S436" s="249"/>
      <c r="T436" s="249"/>
      <c r="U436" s="249"/>
      <c r="V436" s="249"/>
      <c r="W436" s="249"/>
      <c r="X436" s="249"/>
      <c r="Y436" s="249"/>
      <c r="Z436" s="249"/>
      <c r="AA436" s="249"/>
      <c r="AB436" s="249"/>
      <c r="AC436" s="249"/>
    </row>
    <row r="437" spans="3:29" s="178" customFormat="1" hidden="1">
      <c r="C437" s="249"/>
      <c r="D437" s="249"/>
      <c r="E437" s="249"/>
      <c r="F437" s="249"/>
      <c r="G437" s="249"/>
      <c r="H437" s="249"/>
      <c r="I437" s="249"/>
      <c r="J437" s="249"/>
      <c r="K437" s="249"/>
      <c r="L437" s="249"/>
      <c r="M437" s="249"/>
      <c r="N437" s="249"/>
      <c r="O437" s="249"/>
      <c r="P437" s="249"/>
      <c r="Q437" s="249"/>
      <c r="R437" s="249"/>
      <c r="S437" s="249"/>
      <c r="T437" s="249"/>
      <c r="U437" s="249"/>
      <c r="V437" s="249"/>
      <c r="W437" s="249"/>
      <c r="X437" s="249"/>
      <c r="Y437" s="249"/>
      <c r="Z437" s="249"/>
      <c r="AA437" s="249"/>
      <c r="AB437" s="249"/>
      <c r="AC437" s="249"/>
    </row>
    <row r="438" spans="3:29" s="178" customFormat="1" hidden="1">
      <c r="C438" s="249"/>
      <c r="D438" s="249"/>
      <c r="E438" s="249"/>
      <c r="F438" s="249"/>
      <c r="G438" s="249"/>
      <c r="H438" s="249"/>
      <c r="I438" s="249"/>
      <c r="J438" s="249"/>
      <c r="K438" s="249"/>
      <c r="L438" s="249"/>
      <c r="M438" s="249"/>
      <c r="N438" s="249"/>
      <c r="O438" s="249"/>
      <c r="P438" s="249"/>
      <c r="Q438" s="249"/>
      <c r="R438" s="249"/>
      <c r="S438" s="249"/>
      <c r="T438" s="249"/>
      <c r="U438" s="249"/>
      <c r="V438" s="249"/>
      <c r="W438" s="249"/>
      <c r="X438" s="249"/>
      <c r="Y438" s="249"/>
      <c r="Z438" s="249"/>
      <c r="AA438" s="249"/>
      <c r="AB438" s="249"/>
      <c r="AC438" s="249"/>
    </row>
    <row r="439" spans="3:29" s="178" customFormat="1" hidden="1">
      <c r="C439" s="249"/>
      <c r="D439" s="249"/>
      <c r="E439" s="249"/>
      <c r="F439" s="249"/>
      <c r="G439" s="249"/>
      <c r="H439" s="249"/>
      <c r="I439" s="249"/>
      <c r="J439" s="249"/>
      <c r="K439" s="249"/>
      <c r="L439" s="249"/>
      <c r="M439" s="249"/>
      <c r="N439" s="249"/>
      <c r="O439" s="249"/>
      <c r="P439" s="249"/>
      <c r="Q439" s="249"/>
      <c r="R439" s="249"/>
      <c r="S439" s="249"/>
      <c r="T439" s="249"/>
      <c r="U439" s="249"/>
      <c r="V439" s="249"/>
      <c r="W439" s="249"/>
      <c r="X439" s="249"/>
      <c r="Y439" s="249"/>
      <c r="Z439" s="249"/>
      <c r="AA439" s="249"/>
      <c r="AB439" s="249"/>
      <c r="AC439" s="249"/>
    </row>
    <row r="440" spans="3:29" s="178" customFormat="1" hidden="1">
      <c r="C440" s="249"/>
      <c r="D440" s="249"/>
      <c r="E440" s="249"/>
      <c r="F440" s="249"/>
      <c r="G440" s="249"/>
      <c r="H440" s="249"/>
      <c r="I440" s="249"/>
      <c r="J440" s="249"/>
      <c r="K440" s="249"/>
      <c r="L440" s="249"/>
      <c r="M440" s="249"/>
      <c r="N440" s="249"/>
      <c r="O440" s="249"/>
      <c r="P440" s="249"/>
      <c r="Q440" s="249"/>
      <c r="R440" s="249"/>
      <c r="S440" s="249"/>
      <c r="T440" s="249"/>
      <c r="U440" s="249"/>
      <c r="V440" s="249"/>
      <c r="W440" s="249"/>
      <c r="X440" s="249"/>
      <c r="Y440" s="249"/>
      <c r="Z440" s="249"/>
      <c r="AA440" s="249"/>
      <c r="AB440" s="249"/>
      <c r="AC440" s="249"/>
    </row>
    <row r="441" spans="3:29" s="178" customFormat="1" hidden="1">
      <c r="C441" s="249"/>
      <c r="D441" s="249"/>
      <c r="E441" s="249"/>
      <c r="F441" s="249"/>
      <c r="G441" s="249"/>
      <c r="H441" s="249"/>
      <c r="I441" s="249"/>
      <c r="J441" s="249"/>
      <c r="K441" s="249"/>
      <c r="L441" s="249"/>
      <c r="M441" s="249"/>
      <c r="N441" s="249"/>
      <c r="O441" s="249"/>
      <c r="P441" s="249"/>
      <c r="Q441" s="249"/>
      <c r="R441" s="249"/>
      <c r="S441" s="249"/>
      <c r="T441" s="249"/>
      <c r="U441" s="249"/>
      <c r="V441" s="249"/>
      <c r="W441" s="249"/>
      <c r="X441" s="249"/>
      <c r="Y441" s="249"/>
      <c r="Z441" s="249"/>
      <c r="AA441" s="249"/>
      <c r="AB441" s="249"/>
      <c r="AC441" s="249"/>
    </row>
    <row r="442" spans="3:29" s="178" customFormat="1" hidden="1">
      <c r="C442" s="249"/>
      <c r="D442" s="249"/>
      <c r="E442" s="249"/>
      <c r="F442" s="249"/>
      <c r="G442" s="249"/>
      <c r="H442" s="249"/>
      <c r="I442" s="249"/>
      <c r="J442" s="249"/>
      <c r="K442" s="249"/>
      <c r="L442" s="249"/>
      <c r="M442" s="249"/>
      <c r="N442" s="249"/>
      <c r="O442" s="249"/>
      <c r="P442" s="249"/>
      <c r="Q442" s="249"/>
      <c r="R442" s="249"/>
      <c r="S442" s="249"/>
      <c r="T442" s="249"/>
      <c r="U442" s="249"/>
      <c r="V442" s="249"/>
      <c r="W442" s="249"/>
      <c r="X442" s="249"/>
      <c r="Y442" s="249"/>
      <c r="Z442" s="249"/>
      <c r="AA442" s="249"/>
      <c r="AB442" s="249"/>
      <c r="AC442" s="249"/>
    </row>
    <row r="443" spans="3:29" s="178" customFormat="1" hidden="1">
      <c r="C443" s="249"/>
      <c r="D443" s="249"/>
      <c r="E443" s="249"/>
      <c r="F443" s="249"/>
      <c r="G443" s="249"/>
      <c r="H443" s="249"/>
      <c r="I443" s="249"/>
      <c r="J443" s="249"/>
      <c r="K443" s="249"/>
      <c r="L443" s="249"/>
      <c r="M443" s="249"/>
      <c r="N443" s="249"/>
      <c r="O443" s="249"/>
      <c r="P443" s="249"/>
      <c r="Q443" s="249"/>
      <c r="R443" s="249"/>
      <c r="S443" s="249"/>
      <c r="T443" s="249"/>
      <c r="U443" s="249"/>
      <c r="V443" s="249"/>
      <c r="W443" s="249"/>
      <c r="X443" s="249"/>
      <c r="Y443" s="249"/>
      <c r="Z443" s="249"/>
      <c r="AA443" s="249"/>
      <c r="AB443" s="249"/>
      <c r="AC443" s="249"/>
    </row>
    <row r="444" spans="3:29" s="178" customFormat="1" hidden="1">
      <c r="C444" s="249"/>
      <c r="D444" s="249"/>
      <c r="E444" s="249"/>
      <c r="F444" s="249"/>
      <c r="G444" s="249"/>
      <c r="H444" s="249"/>
      <c r="I444" s="249"/>
      <c r="J444" s="249"/>
      <c r="K444" s="249"/>
      <c r="L444" s="249"/>
      <c r="M444" s="249"/>
      <c r="N444" s="249"/>
      <c r="O444" s="249"/>
      <c r="P444" s="249"/>
      <c r="Q444" s="249"/>
      <c r="R444" s="249"/>
      <c r="S444" s="249"/>
      <c r="T444" s="249"/>
      <c r="U444" s="249"/>
      <c r="V444" s="249"/>
      <c r="W444" s="249"/>
      <c r="X444" s="249"/>
      <c r="Y444" s="249"/>
      <c r="Z444" s="249"/>
      <c r="AA444" s="249"/>
      <c r="AB444" s="249"/>
      <c r="AC444" s="249"/>
    </row>
    <row r="445" spans="3:29" s="178" customFormat="1" hidden="1">
      <c r="C445" s="249"/>
      <c r="D445" s="249"/>
      <c r="E445" s="249"/>
      <c r="F445" s="249"/>
      <c r="G445" s="249"/>
      <c r="H445" s="249"/>
      <c r="I445" s="249"/>
      <c r="J445" s="249"/>
      <c r="K445" s="249"/>
      <c r="L445" s="249"/>
      <c r="M445" s="249"/>
      <c r="N445" s="249"/>
      <c r="O445" s="249"/>
      <c r="P445" s="249"/>
      <c r="Q445" s="249"/>
      <c r="R445" s="249"/>
      <c r="S445" s="249"/>
      <c r="T445" s="249"/>
      <c r="U445" s="249"/>
      <c r="V445" s="249"/>
      <c r="W445" s="249"/>
      <c r="X445" s="249"/>
      <c r="Y445" s="249"/>
      <c r="Z445" s="249"/>
      <c r="AA445" s="249"/>
      <c r="AB445" s="249"/>
      <c r="AC445" s="249"/>
    </row>
    <row r="446" spans="3:29" s="178" customFormat="1" hidden="1">
      <c r="C446" s="249"/>
      <c r="D446" s="249"/>
      <c r="E446" s="249"/>
      <c r="F446" s="249"/>
      <c r="G446" s="249"/>
      <c r="H446" s="249"/>
      <c r="I446" s="249"/>
      <c r="J446" s="249"/>
      <c r="K446" s="249"/>
      <c r="L446" s="249"/>
      <c r="M446" s="249"/>
      <c r="N446" s="249"/>
      <c r="O446" s="249"/>
      <c r="P446" s="249"/>
      <c r="Q446" s="249"/>
      <c r="R446" s="249"/>
      <c r="S446" s="249"/>
      <c r="T446" s="249"/>
      <c r="U446" s="249"/>
      <c r="V446" s="249"/>
      <c r="W446" s="249"/>
      <c r="X446" s="249"/>
      <c r="Y446" s="249"/>
      <c r="Z446" s="249"/>
      <c r="AA446" s="249"/>
      <c r="AB446" s="249"/>
      <c r="AC446" s="249"/>
    </row>
    <row r="447" spans="3:29" s="178" customFormat="1" hidden="1">
      <c r="C447" s="249"/>
      <c r="D447" s="249"/>
      <c r="E447" s="249"/>
      <c r="F447" s="249"/>
      <c r="G447" s="249"/>
      <c r="H447" s="249"/>
      <c r="I447" s="249"/>
      <c r="J447" s="249"/>
      <c r="K447" s="249"/>
      <c r="L447" s="249"/>
      <c r="M447" s="249"/>
      <c r="N447" s="249"/>
      <c r="O447" s="249"/>
      <c r="P447" s="249"/>
      <c r="Q447" s="249"/>
      <c r="R447" s="249"/>
      <c r="S447" s="249"/>
      <c r="T447" s="249"/>
      <c r="U447" s="249"/>
      <c r="V447" s="249"/>
      <c r="W447" s="249"/>
      <c r="X447" s="249"/>
      <c r="Y447" s="249"/>
      <c r="Z447" s="249"/>
      <c r="AA447" s="249"/>
      <c r="AB447" s="249"/>
      <c r="AC447" s="249"/>
    </row>
    <row r="448" spans="3:29" s="178" customFormat="1" hidden="1">
      <c r="C448" s="249"/>
      <c r="D448" s="249"/>
      <c r="E448" s="249"/>
      <c r="F448" s="249"/>
      <c r="G448" s="249"/>
      <c r="H448" s="249"/>
      <c r="I448" s="249"/>
      <c r="J448" s="249"/>
      <c r="K448" s="249"/>
      <c r="L448" s="249"/>
      <c r="M448" s="249"/>
      <c r="N448" s="249"/>
      <c r="O448" s="249"/>
      <c r="P448" s="249"/>
      <c r="Q448" s="249"/>
      <c r="R448" s="249"/>
      <c r="S448" s="249"/>
      <c r="T448" s="249"/>
      <c r="U448" s="249"/>
      <c r="V448" s="249"/>
      <c r="W448" s="249"/>
      <c r="X448" s="249"/>
      <c r="Y448" s="249"/>
      <c r="Z448" s="249"/>
      <c r="AA448" s="249"/>
      <c r="AB448" s="249"/>
      <c r="AC448" s="249"/>
    </row>
    <row r="449" spans="19:70" s="178" customFormat="1" hidden="1">
      <c r="S449" s="249"/>
      <c r="T449" s="249"/>
      <c r="U449" s="249"/>
      <c r="V449" s="249"/>
      <c r="W449" s="249"/>
      <c r="X449" s="249"/>
      <c r="Y449" s="249"/>
      <c r="Z449" s="249"/>
      <c r="AA449" s="249"/>
      <c r="AB449" s="249"/>
      <c r="AC449" s="249"/>
      <c r="AD449" s="249"/>
      <c r="AE449" s="249"/>
      <c r="AF449" s="249"/>
      <c r="AG449" s="249"/>
      <c r="AH449" s="249"/>
      <c r="AI449" s="249"/>
      <c r="AJ449" s="249"/>
      <c r="AK449" s="249"/>
      <c r="AL449" s="249"/>
      <c r="AM449" s="249"/>
      <c r="AN449" s="249"/>
      <c r="AO449" s="249"/>
      <c r="AP449" s="249"/>
      <c r="AQ449" s="249"/>
      <c r="AR449" s="249"/>
      <c r="AS449" s="249"/>
      <c r="AT449" s="249"/>
      <c r="AU449" s="249"/>
      <c r="AV449" s="249"/>
      <c r="AW449" s="249"/>
      <c r="AX449" s="249"/>
      <c r="AY449" s="249"/>
      <c r="AZ449" s="249"/>
      <c r="BA449" s="249"/>
      <c r="BB449" s="249"/>
      <c r="BC449" s="249"/>
      <c r="BD449" s="249"/>
      <c r="BE449" s="249"/>
      <c r="BF449" s="249"/>
      <c r="BG449" s="249"/>
      <c r="BH449" s="249"/>
      <c r="BI449" s="249"/>
      <c r="BJ449" s="249"/>
      <c r="BK449" s="249"/>
      <c r="BL449" s="249"/>
      <c r="BM449" s="249"/>
      <c r="BN449" s="249"/>
      <c r="BO449" s="249"/>
      <c r="BP449" s="249"/>
      <c r="BQ449" s="249"/>
      <c r="BR449" s="249"/>
    </row>
    <row r="450" spans="19:70" s="178" customFormat="1" hidden="1">
      <c r="S450" s="249"/>
      <c r="T450" s="249"/>
      <c r="U450" s="249"/>
      <c r="V450" s="249"/>
      <c r="W450" s="249"/>
      <c r="X450" s="249"/>
      <c r="Y450" s="249"/>
      <c r="Z450" s="249"/>
      <c r="AA450" s="249"/>
      <c r="AB450" s="249"/>
      <c r="AC450" s="249"/>
      <c r="AD450" s="249"/>
      <c r="AE450" s="249"/>
      <c r="AF450" s="249"/>
      <c r="AG450" s="249"/>
      <c r="AH450" s="249"/>
      <c r="AI450" s="249"/>
      <c r="AJ450" s="249"/>
      <c r="AK450" s="249"/>
      <c r="AL450" s="249"/>
      <c r="AM450" s="249"/>
      <c r="AN450" s="249"/>
      <c r="AO450" s="249"/>
      <c r="AP450" s="249"/>
      <c r="AQ450" s="249"/>
      <c r="AR450" s="249"/>
      <c r="AS450" s="249"/>
      <c r="AT450" s="249"/>
      <c r="AU450" s="249"/>
      <c r="AV450" s="249"/>
      <c r="AW450" s="249"/>
      <c r="AX450" s="249"/>
      <c r="AY450" s="249"/>
      <c r="AZ450" s="249"/>
      <c r="BA450" s="249"/>
      <c r="BB450" s="249"/>
      <c r="BC450" s="249"/>
      <c r="BD450" s="249"/>
      <c r="BE450" s="249"/>
      <c r="BF450" s="249"/>
      <c r="BG450" s="249"/>
      <c r="BH450" s="249"/>
      <c r="BI450" s="249"/>
      <c r="BJ450" s="249"/>
      <c r="BK450" s="249"/>
      <c r="BL450" s="249"/>
      <c r="BM450" s="249"/>
      <c r="BN450" s="249"/>
      <c r="BO450" s="249"/>
      <c r="BP450" s="249"/>
      <c r="BQ450" s="249"/>
      <c r="BR450" s="249"/>
    </row>
    <row r="451" spans="19:70" s="178" customFormat="1" hidden="1">
      <c r="S451" s="249"/>
      <c r="T451" s="249"/>
      <c r="U451" s="249"/>
      <c r="V451" s="249"/>
      <c r="W451" s="249"/>
      <c r="X451" s="249"/>
      <c r="Y451" s="249"/>
      <c r="Z451" s="249"/>
      <c r="AA451" s="249"/>
      <c r="AB451" s="249"/>
      <c r="AC451" s="249"/>
      <c r="AD451" s="249"/>
      <c r="AE451" s="249"/>
      <c r="AF451" s="249"/>
      <c r="AG451" s="249"/>
      <c r="AH451" s="249"/>
      <c r="AI451" s="249"/>
      <c r="AJ451" s="249"/>
      <c r="AK451" s="249"/>
      <c r="AL451" s="249"/>
      <c r="AM451" s="249"/>
      <c r="AN451" s="249"/>
      <c r="AO451" s="249"/>
      <c r="AP451" s="249"/>
      <c r="AQ451" s="249"/>
      <c r="AR451" s="249"/>
      <c r="AS451" s="249"/>
      <c r="AT451" s="249"/>
      <c r="AU451" s="249"/>
      <c r="AV451" s="249"/>
      <c r="AW451" s="249"/>
      <c r="AX451" s="249"/>
      <c r="AY451" s="249"/>
      <c r="AZ451" s="249"/>
      <c r="BA451" s="249"/>
      <c r="BB451" s="249"/>
      <c r="BC451" s="249"/>
      <c r="BD451" s="249"/>
      <c r="BE451" s="249"/>
      <c r="BF451" s="249"/>
      <c r="BG451" s="249"/>
      <c r="BH451" s="249"/>
      <c r="BI451" s="249"/>
      <c r="BJ451" s="249"/>
      <c r="BK451" s="249"/>
      <c r="BL451" s="249"/>
      <c r="BM451" s="249"/>
      <c r="BN451" s="249"/>
      <c r="BO451" s="249"/>
      <c r="BP451" s="249"/>
      <c r="BQ451" s="249"/>
      <c r="BR451" s="249"/>
    </row>
    <row r="452" spans="19:70" s="178" customFormat="1" hidden="1">
      <c r="S452" s="249"/>
      <c r="T452" s="249"/>
      <c r="U452" s="249"/>
      <c r="V452" s="249"/>
      <c r="W452" s="249"/>
      <c r="X452" s="249"/>
      <c r="Y452" s="249"/>
      <c r="Z452" s="249"/>
      <c r="AA452" s="249"/>
      <c r="AB452" s="249"/>
      <c r="AC452" s="249"/>
      <c r="AD452" s="249"/>
      <c r="AE452" s="249"/>
      <c r="AF452" s="249"/>
      <c r="AG452" s="249"/>
      <c r="AH452" s="249"/>
      <c r="AI452" s="249"/>
      <c r="AJ452" s="249"/>
      <c r="AK452" s="249"/>
      <c r="AL452" s="249"/>
      <c r="AM452" s="249"/>
      <c r="AN452" s="249"/>
      <c r="AO452" s="249"/>
      <c r="AP452" s="249"/>
      <c r="AQ452" s="249"/>
      <c r="AR452" s="249"/>
      <c r="AS452" s="249"/>
      <c r="AT452" s="249"/>
      <c r="AU452" s="249"/>
      <c r="AV452" s="249"/>
      <c r="AW452" s="249"/>
      <c r="AX452" s="249"/>
      <c r="AY452" s="249"/>
      <c r="AZ452" s="249"/>
      <c r="BA452" s="249"/>
      <c r="BB452" s="249"/>
      <c r="BC452" s="249"/>
      <c r="BD452" s="249"/>
      <c r="BE452" s="249"/>
      <c r="BF452" s="249"/>
      <c r="BG452" s="249"/>
      <c r="BH452" s="249"/>
      <c r="BI452" s="249"/>
      <c r="BJ452" s="249"/>
      <c r="BK452" s="249"/>
      <c r="BL452" s="249"/>
      <c r="BM452" s="249"/>
      <c r="BN452" s="249"/>
      <c r="BO452" s="249"/>
      <c r="BP452" s="249"/>
      <c r="BQ452" s="249"/>
      <c r="BR452" s="249"/>
    </row>
    <row r="453" spans="19:70" s="178" customFormat="1" hidden="1">
      <c r="S453" s="249"/>
      <c r="T453" s="249"/>
      <c r="U453" s="249"/>
      <c r="V453" s="249"/>
      <c r="W453" s="249"/>
      <c r="X453" s="249"/>
      <c r="Y453" s="249"/>
      <c r="Z453" s="249"/>
      <c r="AA453" s="249"/>
      <c r="AB453" s="249"/>
      <c r="AC453" s="249"/>
      <c r="AD453" s="249"/>
      <c r="AE453" s="249"/>
      <c r="AF453" s="249"/>
      <c r="AG453" s="249"/>
      <c r="AH453" s="249"/>
      <c r="AI453" s="249"/>
      <c r="AJ453" s="249"/>
      <c r="AK453" s="249"/>
      <c r="AL453" s="249"/>
      <c r="AM453" s="249"/>
      <c r="AN453" s="249"/>
      <c r="AO453" s="249"/>
      <c r="AP453" s="249"/>
      <c r="AQ453" s="249"/>
      <c r="AR453" s="249"/>
      <c r="AS453" s="249"/>
      <c r="AT453" s="249"/>
      <c r="AU453" s="249"/>
      <c r="AV453" s="249"/>
      <c r="AW453" s="249"/>
      <c r="AX453" s="249"/>
      <c r="AY453" s="249"/>
      <c r="AZ453" s="249"/>
      <c r="BA453" s="249"/>
      <c r="BB453" s="249"/>
      <c r="BC453" s="249"/>
      <c r="BD453" s="249"/>
      <c r="BE453" s="249"/>
      <c r="BF453" s="249"/>
      <c r="BG453" s="249"/>
      <c r="BH453" s="249"/>
      <c r="BI453" s="249"/>
      <c r="BJ453" s="249"/>
      <c r="BK453" s="249"/>
      <c r="BL453" s="249"/>
      <c r="BM453" s="249"/>
      <c r="BN453" s="249"/>
      <c r="BO453" s="249"/>
      <c r="BP453" s="249"/>
      <c r="BQ453" s="249"/>
      <c r="BR453" s="249"/>
    </row>
    <row r="454" spans="19:70" s="178" customFormat="1" hidden="1">
      <c r="S454" s="249"/>
      <c r="T454" s="249"/>
      <c r="U454" s="249"/>
      <c r="V454" s="249"/>
      <c r="W454" s="249"/>
      <c r="X454" s="249"/>
      <c r="Y454" s="249"/>
      <c r="Z454" s="249"/>
      <c r="AA454" s="249"/>
      <c r="AB454" s="249"/>
      <c r="AC454" s="249"/>
      <c r="AD454" s="249"/>
      <c r="AE454" s="249"/>
      <c r="AF454" s="249"/>
      <c r="AG454" s="249"/>
      <c r="AH454" s="249"/>
      <c r="AI454" s="249"/>
      <c r="AJ454" s="249"/>
      <c r="AK454" s="249"/>
      <c r="AL454" s="249"/>
      <c r="AM454" s="249"/>
      <c r="AN454" s="249"/>
      <c r="AO454" s="249"/>
      <c r="AP454" s="249"/>
      <c r="AQ454" s="249"/>
      <c r="AR454" s="249"/>
      <c r="AS454" s="249"/>
      <c r="AT454" s="249"/>
      <c r="AU454" s="249"/>
      <c r="AV454" s="249"/>
      <c r="AW454" s="249"/>
      <c r="AX454" s="249"/>
      <c r="AY454" s="249"/>
      <c r="AZ454" s="249"/>
      <c r="BA454" s="249"/>
      <c r="BB454" s="249"/>
      <c r="BC454" s="249"/>
      <c r="BD454" s="249"/>
      <c r="BE454" s="249"/>
      <c r="BF454" s="249"/>
      <c r="BG454" s="249"/>
      <c r="BH454" s="249"/>
      <c r="BI454" s="249"/>
      <c r="BJ454" s="249"/>
      <c r="BK454" s="249"/>
      <c r="BL454" s="249"/>
      <c r="BM454" s="249"/>
      <c r="BN454" s="249"/>
      <c r="BO454" s="249"/>
      <c r="BP454" s="249"/>
      <c r="BQ454" s="249"/>
      <c r="BR454" s="249"/>
    </row>
    <row r="455" spans="19:70" s="178" customFormat="1" hidden="1">
      <c r="S455" s="249"/>
      <c r="T455" s="249"/>
      <c r="U455" s="249"/>
      <c r="V455" s="249"/>
      <c r="W455" s="249"/>
      <c r="X455" s="249"/>
      <c r="Y455" s="249"/>
      <c r="Z455" s="249"/>
      <c r="AA455" s="249"/>
      <c r="AB455" s="249"/>
      <c r="AC455" s="249"/>
      <c r="AD455" s="249"/>
      <c r="AE455" s="249"/>
      <c r="AF455" s="249"/>
      <c r="AG455" s="249"/>
      <c r="AH455" s="249"/>
      <c r="AI455" s="249"/>
      <c r="AJ455" s="249"/>
      <c r="AK455" s="249"/>
      <c r="AL455" s="249"/>
      <c r="AM455" s="249"/>
      <c r="AN455" s="249"/>
      <c r="AO455" s="249"/>
      <c r="AP455" s="249"/>
      <c r="AQ455" s="249"/>
      <c r="AR455" s="249"/>
      <c r="AS455" s="249"/>
      <c r="AT455" s="249"/>
      <c r="AU455" s="249"/>
      <c r="AV455" s="249"/>
      <c r="AW455" s="249"/>
      <c r="AX455" s="249"/>
      <c r="AY455" s="249"/>
      <c r="AZ455" s="249"/>
      <c r="BA455" s="249"/>
      <c r="BB455" s="249"/>
      <c r="BC455" s="249"/>
      <c r="BD455" s="249"/>
      <c r="BE455" s="249"/>
      <c r="BF455" s="249"/>
      <c r="BG455" s="249"/>
      <c r="BH455" s="249"/>
      <c r="BI455" s="249"/>
      <c r="BJ455" s="249"/>
      <c r="BK455" s="249"/>
      <c r="BL455" s="249"/>
      <c r="BM455" s="249"/>
      <c r="BN455" s="249"/>
      <c r="BO455" s="249"/>
      <c r="BP455" s="249"/>
      <c r="BQ455" s="249"/>
      <c r="BR455" s="249"/>
    </row>
    <row r="456" spans="19:70" s="178" customFormat="1" hidden="1">
      <c r="S456" s="249"/>
      <c r="T456" s="249"/>
      <c r="U456" s="249"/>
      <c r="V456" s="249"/>
      <c r="W456" s="249"/>
      <c r="X456" s="249"/>
      <c r="Y456" s="249"/>
      <c r="Z456" s="249"/>
      <c r="AA456" s="249"/>
      <c r="AB456" s="249"/>
      <c r="AC456" s="249"/>
      <c r="AD456" s="249"/>
      <c r="AE456" s="249"/>
      <c r="AF456" s="249"/>
      <c r="AG456" s="249"/>
      <c r="AH456" s="249"/>
      <c r="AI456" s="249"/>
      <c r="AJ456" s="249"/>
      <c r="AK456" s="249"/>
      <c r="AL456" s="249"/>
      <c r="AM456" s="249"/>
      <c r="AN456" s="249"/>
      <c r="AO456" s="249"/>
      <c r="AP456" s="249"/>
      <c r="AQ456" s="249"/>
      <c r="AR456" s="249"/>
      <c r="AS456" s="249"/>
      <c r="AT456" s="249"/>
      <c r="AU456" s="249"/>
      <c r="AV456" s="249"/>
      <c r="AW456" s="249"/>
      <c r="AX456" s="249"/>
      <c r="AY456" s="249"/>
      <c r="AZ456" s="249"/>
      <c r="BA456" s="249"/>
      <c r="BB456" s="249"/>
      <c r="BC456" s="249"/>
      <c r="BD456" s="249"/>
      <c r="BE456" s="249"/>
      <c r="BF456" s="249"/>
      <c r="BG456" s="249"/>
      <c r="BH456" s="249"/>
      <c r="BI456" s="249"/>
      <c r="BJ456" s="249"/>
      <c r="BK456" s="249"/>
      <c r="BL456" s="249"/>
      <c r="BM456" s="249"/>
      <c r="BN456" s="249"/>
      <c r="BO456" s="249"/>
      <c r="BP456" s="249"/>
      <c r="BQ456" s="249"/>
      <c r="BR456" s="249"/>
    </row>
    <row r="457" spans="19:70" s="178" customFormat="1" hidden="1">
      <c r="S457" s="249"/>
      <c r="T457" s="249"/>
      <c r="U457" s="249"/>
      <c r="V457" s="249"/>
      <c r="W457" s="249"/>
      <c r="X457" s="249"/>
      <c r="Y457" s="249"/>
      <c r="Z457" s="249"/>
      <c r="AA457" s="249"/>
      <c r="AB457" s="249"/>
      <c r="AC457" s="249"/>
      <c r="AD457" s="249"/>
      <c r="AE457" s="249"/>
      <c r="AF457" s="249"/>
      <c r="AG457" s="249"/>
      <c r="AH457" s="249"/>
      <c r="AI457" s="249"/>
      <c r="AJ457" s="249"/>
      <c r="AK457" s="249"/>
      <c r="AL457" s="249"/>
      <c r="AM457" s="249"/>
      <c r="AN457" s="249"/>
      <c r="AO457" s="249"/>
      <c r="AP457" s="249"/>
      <c r="AQ457" s="249"/>
      <c r="AR457" s="249"/>
      <c r="AS457" s="249"/>
      <c r="AT457" s="249"/>
      <c r="AU457" s="249"/>
      <c r="AV457" s="249"/>
      <c r="AW457" s="249"/>
      <c r="AX457" s="249"/>
      <c r="AY457" s="249"/>
      <c r="AZ457" s="249"/>
      <c r="BA457" s="249"/>
      <c r="BB457" s="249"/>
      <c r="BC457" s="249"/>
      <c r="BD457" s="249"/>
      <c r="BE457" s="249"/>
      <c r="BF457" s="249"/>
      <c r="BG457" s="249"/>
      <c r="BH457" s="249"/>
      <c r="BI457" s="249"/>
      <c r="BJ457" s="249"/>
      <c r="BK457" s="249"/>
      <c r="BL457" s="249"/>
      <c r="BM457" s="249"/>
      <c r="BN457" s="249"/>
      <c r="BO457" s="249"/>
      <c r="BP457" s="249"/>
      <c r="BQ457" s="249"/>
      <c r="BR457" s="249"/>
    </row>
    <row r="458" spans="19:70" s="178" customFormat="1" hidden="1">
      <c r="S458" s="249"/>
      <c r="T458" s="249"/>
      <c r="U458" s="249"/>
      <c r="V458" s="249"/>
      <c r="W458" s="249"/>
      <c r="X458" s="249"/>
      <c r="Y458" s="249"/>
      <c r="Z458" s="249"/>
      <c r="AA458" s="249"/>
      <c r="AB458" s="249"/>
      <c r="AC458" s="249"/>
      <c r="AD458" s="249"/>
      <c r="AE458" s="249"/>
      <c r="AF458" s="249"/>
      <c r="AG458" s="249"/>
      <c r="AH458" s="249"/>
      <c r="AI458" s="249"/>
      <c r="AJ458" s="249"/>
      <c r="AK458" s="249"/>
      <c r="AL458" s="249"/>
      <c r="AM458" s="249"/>
      <c r="AN458" s="249"/>
      <c r="AO458" s="249"/>
      <c r="AP458" s="249"/>
      <c r="AQ458" s="249"/>
      <c r="AR458" s="249"/>
      <c r="AS458" s="249"/>
      <c r="AT458" s="249"/>
      <c r="AU458" s="249"/>
      <c r="AV458" s="249"/>
      <c r="AW458" s="249"/>
      <c r="AX458" s="249"/>
      <c r="AY458" s="249"/>
      <c r="AZ458" s="249"/>
      <c r="BA458" s="249"/>
      <c r="BB458" s="249"/>
      <c r="BC458" s="249"/>
      <c r="BD458" s="249"/>
      <c r="BE458" s="249"/>
      <c r="BF458" s="249"/>
      <c r="BG458" s="249"/>
      <c r="BH458" s="249"/>
      <c r="BI458" s="249"/>
      <c r="BJ458" s="249"/>
      <c r="BK458" s="249"/>
      <c r="BL458" s="249"/>
      <c r="BM458" s="249"/>
      <c r="BN458" s="249"/>
      <c r="BO458" s="249"/>
      <c r="BP458" s="249"/>
      <c r="BQ458" s="249"/>
      <c r="BR458" s="249"/>
    </row>
    <row r="459" spans="19:70" s="178" customFormat="1" hidden="1">
      <c r="S459" s="249"/>
      <c r="T459" s="249"/>
      <c r="U459" s="249"/>
      <c r="V459" s="249"/>
      <c r="W459" s="249"/>
      <c r="X459" s="249"/>
      <c r="Y459" s="249"/>
      <c r="Z459" s="249"/>
      <c r="AA459" s="249"/>
      <c r="AB459" s="249"/>
      <c r="AC459" s="249"/>
      <c r="AD459" s="249"/>
      <c r="AE459" s="249"/>
      <c r="AF459" s="249"/>
      <c r="AG459" s="249"/>
      <c r="AH459" s="249"/>
      <c r="AI459" s="249"/>
      <c r="AJ459" s="249"/>
      <c r="AK459" s="249"/>
      <c r="AL459" s="249"/>
      <c r="AM459" s="249"/>
      <c r="AN459" s="249"/>
      <c r="AO459" s="249"/>
      <c r="AP459" s="249"/>
      <c r="AQ459" s="249"/>
      <c r="AR459" s="249"/>
      <c r="AS459" s="249"/>
      <c r="AT459" s="249"/>
      <c r="AU459" s="249"/>
      <c r="AV459" s="249"/>
      <c r="AW459" s="249"/>
      <c r="AX459" s="249"/>
      <c r="AY459" s="249"/>
      <c r="AZ459" s="249"/>
      <c r="BA459" s="249"/>
      <c r="BB459" s="249"/>
      <c r="BC459" s="249"/>
      <c r="BD459" s="249"/>
      <c r="BE459" s="249"/>
      <c r="BF459" s="249"/>
      <c r="BG459" s="249"/>
      <c r="BH459" s="249"/>
      <c r="BI459" s="249"/>
      <c r="BJ459" s="249"/>
      <c r="BK459" s="249"/>
      <c r="BL459" s="249"/>
      <c r="BM459" s="249"/>
      <c r="BN459" s="249"/>
      <c r="BO459" s="249"/>
      <c r="BP459" s="249"/>
      <c r="BQ459" s="249"/>
      <c r="BR459" s="249"/>
    </row>
    <row r="460" spans="19:70" s="178" customFormat="1" hidden="1">
      <c r="S460" s="249"/>
      <c r="T460" s="249"/>
      <c r="U460" s="249"/>
      <c r="V460" s="249"/>
      <c r="W460" s="249"/>
      <c r="X460" s="249"/>
      <c r="Y460" s="249"/>
      <c r="Z460" s="249"/>
      <c r="AA460" s="249"/>
      <c r="AB460" s="249"/>
      <c r="AC460" s="249"/>
      <c r="AD460" s="249"/>
      <c r="AE460" s="249"/>
      <c r="AF460" s="249"/>
      <c r="AG460" s="249"/>
      <c r="AH460" s="249"/>
      <c r="AI460" s="249"/>
      <c r="AJ460" s="249"/>
      <c r="AK460" s="249"/>
      <c r="AL460" s="249"/>
      <c r="AM460" s="249"/>
      <c r="AN460" s="249"/>
      <c r="AO460" s="249"/>
      <c r="AP460" s="249"/>
      <c r="AQ460" s="249"/>
      <c r="AR460" s="249"/>
      <c r="AS460" s="249"/>
      <c r="AT460" s="249"/>
      <c r="AU460" s="249"/>
      <c r="AV460" s="249"/>
      <c r="AW460" s="249"/>
      <c r="AX460" s="249"/>
      <c r="AY460" s="249"/>
      <c r="AZ460" s="249"/>
      <c r="BA460" s="249"/>
      <c r="BB460" s="249"/>
      <c r="BC460" s="249"/>
      <c r="BD460" s="249"/>
      <c r="BE460" s="249"/>
      <c r="BF460" s="249"/>
      <c r="BG460" s="249"/>
      <c r="BH460" s="249"/>
      <c r="BI460" s="249"/>
      <c r="BJ460" s="249"/>
      <c r="BK460" s="249"/>
      <c r="BL460" s="249"/>
      <c r="BM460" s="249"/>
      <c r="BN460" s="249"/>
      <c r="BO460" s="249"/>
      <c r="BP460" s="249"/>
      <c r="BQ460" s="249"/>
      <c r="BR460" s="249"/>
    </row>
    <row r="461" spans="19:70" s="178" customFormat="1" hidden="1">
      <c r="S461" s="249"/>
      <c r="T461" s="249"/>
      <c r="U461" s="249"/>
      <c r="V461" s="249"/>
      <c r="W461" s="249"/>
      <c r="X461" s="249"/>
      <c r="Y461" s="249"/>
      <c r="Z461" s="249"/>
      <c r="AA461" s="249"/>
      <c r="AB461" s="249"/>
      <c r="AC461" s="249"/>
      <c r="AD461" s="249"/>
      <c r="AE461" s="249"/>
      <c r="AF461" s="249"/>
      <c r="AG461" s="249"/>
      <c r="AH461" s="249"/>
      <c r="AI461" s="249"/>
      <c r="AJ461" s="249"/>
      <c r="AK461" s="249"/>
      <c r="AL461" s="249"/>
      <c r="AM461" s="249"/>
      <c r="AN461" s="249"/>
      <c r="AO461" s="249"/>
      <c r="AP461" s="249"/>
      <c r="AQ461" s="249"/>
      <c r="AR461" s="249"/>
      <c r="AS461" s="249"/>
      <c r="AT461" s="249"/>
      <c r="AU461" s="249"/>
      <c r="AV461" s="249"/>
      <c r="AW461" s="249"/>
      <c r="AX461" s="249"/>
      <c r="AY461" s="249"/>
      <c r="AZ461" s="249"/>
      <c r="BA461" s="249"/>
      <c r="BB461" s="249"/>
      <c r="BC461" s="249"/>
      <c r="BD461" s="249"/>
      <c r="BE461" s="249"/>
      <c r="BF461" s="249"/>
      <c r="BG461" s="249"/>
      <c r="BH461" s="249"/>
      <c r="BI461" s="249"/>
      <c r="BJ461" s="249"/>
      <c r="BK461" s="249"/>
      <c r="BL461" s="249"/>
      <c r="BM461" s="249"/>
      <c r="BN461" s="249"/>
      <c r="BO461" s="249"/>
      <c r="BP461" s="249"/>
      <c r="BQ461" s="249"/>
      <c r="BR461" s="249"/>
    </row>
    <row r="462" spans="19:70" s="178" customFormat="1" hidden="1">
      <c r="S462" s="249"/>
      <c r="T462" s="249"/>
      <c r="U462" s="249"/>
      <c r="V462" s="249"/>
      <c r="W462" s="249"/>
      <c r="X462" s="249"/>
      <c r="Y462" s="249"/>
      <c r="Z462" s="249"/>
      <c r="AA462" s="249"/>
      <c r="AB462" s="249"/>
      <c r="AC462" s="249"/>
      <c r="AD462" s="249"/>
      <c r="AE462" s="249"/>
      <c r="AF462" s="249"/>
      <c r="AG462" s="249"/>
      <c r="AH462" s="249"/>
      <c r="AI462" s="249"/>
      <c r="AJ462" s="249"/>
      <c r="AK462" s="249"/>
      <c r="AL462" s="249"/>
      <c r="AM462" s="249"/>
      <c r="AN462" s="249"/>
      <c r="AO462" s="249"/>
      <c r="AP462" s="249"/>
      <c r="AQ462" s="249"/>
      <c r="AR462" s="249"/>
      <c r="AS462" s="249"/>
      <c r="AT462" s="249"/>
      <c r="AU462" s="249"/>
      <c r="AV462" s="249"/>
      <c r="AW462" s="249"/>
      <c r="AX462" s="249"/>
      <c r="AY462" s="249"/>
      <c r="AZ462" s="249"/>
      <c r="BA462" s="249"/>
      <c r="BB462" s="249"/>
      <c r="BC462" s="249"/>
      <c r="BD462" s="249"/>
      <c r="BE462" s="249"/>
      <c r="BF462" s="249"/>
      <c r="BG462" s="249"/>
      <c r="BH462" s="249"/>
      <c r="BI462" s="249"/>
      <c r="BJ462" s="249"/>
      <c r="BK462" s="249"/>
      <c r="BL462" s="249"/>
      <c r="BM462" s="249"/>
      <c r="BN462" s="249"/>
      <c r="BO462" s="249"/>
      <c r="BP462" s="249"/>
      <c r="BQ462" s="249"/>
      <c r="BR462" s="249"/>
    </row>
    <row r="463" spans="19:70" s="178" customFormat="1" hidden="1">
      <c r="S463" s="249"/>
      <c r="T463" s="249"/>
      <c r="U463" s="249"/>
      <c r="V463" s="249"/>
      <c r="W463" s="249"/>
      <c r="X463" s="249"/>
      <c r="Y463" s="249"/>
      <c r="Z463" s="249"/>
      <c r="AA463" s="249"/>
      <c r="AB463" s="249"/>
      <c r="AC463" s="249"/>
      <c r="AD463" s="249"/>
      <c r="AE463" s="249"/>
      <c r="AF463" s="249"/>
      <c r="AG463" s="249"/>
      <c r="AH463" s="249"/>
      <c r="AI463" s="249"/>
      <c r="AJ463" s="249"/>
      <c r="AK463" s="249"/>
      <c r="AL463" s="249"/>
      <c r="AM463" s="249"/>
      <c r="AN463" s="249"/>
      <c r="AO463" s="249"/>
      <c r="AP463" s="249"/>
      <c r="AQ463" s="249"/>
      <c r="AR463" s="249"/>
      <c r="AS463" s="249"/>
      <c r="AT463" s="249"/>
      <c r="AU463" s="249"/>
      <c r="AV463" s="249"/>
      <c r="AW463" s="249"/>
      <c r="AX463" s="249"/>
      <c r="AY463" s="249"/>
      <c r="AZ463" s="249"/>
      <c r="BA463" s="249"/>
      <c r="BB463" s="249"/>
      <c r="BC463" s="249"/>
      <c r="BD463" s="249"/>
      <c r="BE463" s="249"/>
      <c r="BF463" s="249"/>
      <c r="BG463" s="249"/>
      <c r="BH463" s="249"/>
      <c r="BI463" s="249"/>
      <c r="BJ463" s="249"/>
      <c r="BK463" s="249"/>
      <c r="BL463" s="249"/>
      <c r="BM463" s="249"/>
      <c r="BN463" s="249"/>
      <c r="BO463" s="249"/>
      <c r="BP463" s="249"/>
      <c r="BQ463" s="249"/>
      <c r="BR463" s="249"/>
    </row>
    <row r="464" spans="19:70" s="134" customFormat="1">
      <c r="S464" s="249"/>
      <c r="T464" s="249"/>
      <c r="U464" s="249"/>
      <c r="V464" s="249"/>
      <c r="W464" s="249"/>
      <c r="X464" s="249"/>
      <c r="Y464" s="249"/>
      <c r="Z464" s="249"/>
      <c r="AA464" s="249"/>
      <c r="AB464" s="249"/>
      <c r="AC464" s="249"/>
      <c r="AD464" s="249"/>
      <c r="AE464" s="249"/>
      <c r="AF464" s="249"/>
      <c r="AG464" s="249"/>
      <c r="AH464" s="249"/>
      <c r="AI464" s="249"/>
      <c r="AJ464" s="249"/>
      <c r="AK464" s="249"/>
      <c r="AL464" s="249"/>
      <c r="AM464" s="249"/>
      <c r="AN464" s="249"/>
      <c r="AO464" s="249"/>
      <c r="AP464" s="249"/>
      <c r="AQ464" s="249"/>
      <c r="AR464" s="249"/>
      <c r="AS464" s="249"/>
      <c r="AT464" s="249"/>
      <c r="AU464" s="249"/>
      <c r="AV464" s="249"/>
      <c r="AW464" s="249"/>
      <c r="AX464" s="249"/>
      <c r="AY464" s="249"/>
      <c r="AZ464" s="249"/>
      <c r="BA464" s="249"/>
      <c r="BB464" s="249"/>
      <c r="BC464" s="249"/>
      <c r="BD464" s="249"/>
      <c r="BE464" s="249"/>
      <c r="BF464" s="249"/>
      <c r="BG464" s="249"/>
      <c r="BH464" s="249"/>
      <c r="BI464" s="249"/>
      <c r="BJ464" s="249"/>
      <c r="BK464" s="249"/>
      <c r="BL464" s="249"/>
      <c r="BM464" s="249"/>
      <c r="BN464" s="249"/>
      <c r="BO464" s="249"/>
      <c r="BP464" s="249"/>
      <c r="BQ464" s="249"/>
      <c r="BR464" s="249"/>
    </row>
    <row r="465" spans="19:70" s="134" customFormat="1">
      <c r="S465" s="249"/>
      <c r="T465" s="249"/>
      <c r="U465" s="249"/>
      <c r="V465" s="249"/>
      <c r="W465" s="249"/>
      <c r="X465" s="249"/>
      <c r="Y465" s="249"/>
      <c r="Z465" s="249"/>
      <c r="AA465" s="249"/>
      <c r="AB465" s="249"/>
      <c r="AC465" s="249"/>
      <c r="AD465" s="249"/>
      <c r="AE465" s="249"/>
      <c r="AF465" s="249"/>
      <c r="AG465" s="249"/>
      <c r="AH465" s="249"/>
      <c r="AI465" s="249"/>
      <c r="AJ465" s="249"/>
      <c r="AK465" s="249"/>
      <c r="AL465" s="249"/>
      <c r="AM465" s="249"/>
      <c r="AN465" s="249"/>
      <c r="AO465" s="249"/>
      <c r="AP465" s="249"/>
      <c r="AQ465" s="249"/>
      <c r="AR465" s="249"/>
      <c r="AS465" s="249"/>
      <c r="AT465" s="249"/>
      <c r="AU465" s="249"/>
      <c r="AV465" s="249"/>
      <c r="AW465" s="249"/>
      <c r="AX465" s="249"/>
      <c r="AY465" s="249"/>
      <c r="AZ465" s="249"/>
      <c r="BA465" s="249"/>
      <c r="BB465" s="249"/>
      <c r="BC465" s="249"/>
      <c r="BD465" s="249"/>
      <c r="BE465" s="249"/>
      <c r="BF465" s="249"/>
      <c r="BG465" s="249"/>
      <c r="BH465" s="249"/>
      <c r="BI465" s="249"/>
      <c r="BJ465" s="249"/>
      <c r="BK465" s="249"/>
      <c r="BL465" s="249"/>
      <c r="BM465" s="249"/>
      <c r="BN465" s="249"/>
      <c r="BO465" s="249"/>
      <c r="BP465" s="249"/>
      <c r="BQ465" s="249"/>
      <c r="BR465" s="249"/>
    </row>
    <row r="466" spans="19:70" s="134" customFormat="1">
      <c r="S466" s="249"/>
      <c r="T466" s="249"/>
      <c r="U466" s="249"/>
      <c r="V466" s="249"/>
      <c r="W466" s="249"/>
      <c r="X466" s="249"/>
      <c r="Y466" s="249"/>
      <c r="Z466" s="249"/>
      <c r="AA466" s="249"/>
      <c r="AB466" s="249"/>
      <c r="AC466" s="249"/>
      <c r="AD466" s="249"/>
      <c r="AE466" s="249"/>
      <c r="AF466" s="249"/>
      <c r="AG466" s="249"/>
      <c r="AH466" s="249"/>
      <c r="AI466" s="249"/>
      <c r="AJ466" s="249"/>
      <c r="AK466" s="249"/>
      <c r="AL466" s="249"/>
      <c r="AM466" s="249"/>
      <c r="AN466" s="249"/>
      <c r="AO466" s="249"/>
      <c r="AP466" s="249"/>
      <c r="AQ466" s="249"/>
      <c r="AR466" s="249"/>
      <c r="AS466" s="249"/>
      <c r="AT466" s="249"/>
      <c r="AU466" s="249"/>
      <c r="AV466" s="249"/>
      <c r="AW466" s="249"/>
      <c r="AX466" s="249"/>
      <c r="AY466" s="249"/>
      <c r="AZ466" s="249"/>
      <c r="BA466" s="249"/>
      <c r="BB466" s="249"/>
      <c r="BC466" s="249"/>
      <c r="BD466" s="249"/>
      <c r="BE466" s="249"/>
      <c r="BF466" s="249"/>
      <c r="BG466" s="249"/>
      <c r="BH466" s="249"/>
      <c r="BI466" s="249"/>
      <c r="BJ466" s="249"/>
      <c r="BK466" s="249"/>
      <c r="BL466" s="249"/>
      <c r="BM466" s="249"/>
      <c r="BN466" s="249"/>
      <c r="BO466" s="249"/>
      <c r="BP466" s="249"/>
      <c r="BQ466" s="249"/>
      <c r="BR466" s="249"/>
    </row>
    <row r="467" spans="19:70" s="134" customFormat="1">
      <c r="S467" s="249"/>
      <c r="T467" s="249"/>
      <c r="U467" s="249"/>
      <c r="V467" s="249"/>
      <c r="W467" s="249"/>
      <c r="X467" s="249"/>
      <c r="Y467" s="249"/>
      <c r="Z467" s="249"/>
      <c r="AA467" s="249"/>
      <c r="AB467" s="249"/>
      <c r="AC467" s="249"/>
      <c r="AD467" s="249"/>
      <c r="AE467" s="249"/>
      <c r="AF467" s="249"/>
      <c r="AG467" s="249"/>
      <c r="AH467" s="249"/>
      <c r="AI467" s="249"/>
      <c r="AJ467" s="249"/>
      <c r="AK467" s="249"/>
      <c r="AL467" s="249"/>
      <c r="AM467" s="249"/>
      <c r="AN467" s="249"/>
      <c r="AO467" s="249"/>
      <c r="AP467" s="249"/>
      <c r="AQ467" s="249"/>
      <c r="AR467" s="249"/>
      <c r="AS467" s="249"/>
      <c r="AT467" s="249"/>
      <c r="AU467" s="249"/>
      <c r="AV467" s="249"/>
      <c r="AW467" s="249"/>
      <c r="AX467" s="249"/>
      <c r="AY467" s="249"/>
      <c r="AZ467" s="249"/>
      <c r="BA467" s="249"/>
      <c r="BB467" s="249"/>
      <c r="BC467" s="249"/>
      <c r="BD467" s="249"/>
      <c r="BE467" s="249"/>
      <c r="BF467" s="249"/>
      <c r="BG467" s="249"/>
      <c r="BH467" s="249"/>
      <c r="BI467" s="249"/>
      <c r="BJ467" s="249"/>
      <c r="BK467" s="249"/>
      <c r="BL467" s="249"/>
      <c r="BM467" s="249"/>
      <c r="BN467" s="249"/>
      <c r="BO467" s="249"/>
      <c r="BP467" s="249"/>
      <c r="BQ467" s="249"/>
      <c r="BR467" s="249"/>
    </row>
    <row r="468" spans="19:70" s="134" customFormat="1">
      <c r="S468" s="249"/>
      <c r="T468" s="249"/>
      <c r="U468" s="249"/>
      <c r="V468" s="249"/>
      <c r="W468" s="249"/>
      <c r="X468" s="249"/>
      <c r="Y468" s="249"/>
      <c r="Z468" s="249"/>
      <c r="AA468" s="249"/>
      <c r="AB468" s="249"/>
      <c r="AC468" s="249"/>
      <c r="AD468" s="249"/>
      <c r="AE468" s="249"/>
      <c r="AF468" s="249"/>
      <c r="AG468" s="249"/>
      <c r="AH468" s="249"/>
      <c r="AI468" s="249"/>
      <c r="AJ468" s="249"/>
      <c r="AK468" s="249"/>
      <c r="AL468" s="249"/>
      <c r="AM468" s="249"/>
      <c r="AN468" s="249"/>
      <c r="AO468" s="249"/>
      <c r="AP468" s="249"/>
      <c r="AQ468" s="249"/>
      <c r="AR468" s="249"/>
      <c r="AS468" s="249"/>
      <c r="AT468" s="249"/>
      <c r="AU468" s="249"/>
      <c r="AV468" s="249"/>
      <c r="AW468" s="249"/>
      <c r="AX468" s="249"/>
      <c r="AY468" s="249"/>
      <c r="AZ468" s="249"/>
      <c r="BA468" s="249"/>
      <c r="BB468" s="249"/>
      <c r="BC468" s="249"/>
      <c r="BD468" s="249"/>
      <c r="BE468" s="249"/>
      <c r="BF468" s="249"/>
      <c r="BG468" s="249"/>
      <c r="BH468" s="249"/>
      <c r="BI468" s="249"/>
      <c r="BJ468" s="249"/>
      <c r="BK468" s="249"/>
      <c r="BL468" s="249"/>
      <c r="BM468" s="249"/>
      <c r="BN468" s="249"/>
      <c r="BO468" s="249"/>
      <c r="BP468" s="249"/>
      <c r="BQ468" s="249"/>
      <c r="BR468" s="249"/>
    </row>
    <row r="469" spans="19:70" s="134" customFormat="1">
      <c r="S469" s="249"/>
      <c r="T469" s="249"/>
      <c r="U469" s="249"/>
      <c r="V469" s="249"/>
      <c r="W469" s="249"/>
      <c r="X469" s="249"/>
      <c r="Y469" s="249"/>
      <c r="Z469" s="249"/>
      <c r="AA469" s="249"/>
      <c r="AB469" s="249"/>
      <c r="AC469" s="249"/>
      <c r="AD469" s="249"/>
      <c r="AE469" s="249"/>
      <c r="AF469" s="249"/>
      <c r="AG469" s="249"/>
      <c r="AH469" s="249"/>
      <c r="AI469" s="249"/>
      <c r="AJ469" s="249"/>
      <c r="AK469" s="249"/>
      <c r="AL469" s="249"/>
      <c r="AM469" s="249"/>
      <c r="AN469" s="249"/>
      <c r="AO469" s="249"/>
      <c r="AP469" s="249"/>
      <c r="AQ469" s="249"/>
      <c r="AR469" s="249"/>
      <c r="AS469" s="249"/>
      <c r="AT469" s="249"/>
      <c r="AU469" s="249"/>
      <c r="AV469" s="249"/>
      <c r="AW469" s="249"/>
      <c r="AX469" s="249"/>
      <c r="AY469" s="249"/>
      <c r="AZ469" s="249"/>
      <c r="BA469" s="249"/>
      <c r="BB469" s="249"/>
      <c r="BC469" s="249"/>
      <c r="BD469" s="249"/>
      <c r="BE469" s="249"/>
      <c r="BF469" s="249"/>
      <c r="BG469" s="249"/>
      <c r="BH469" s="249"/>
      <c r="BI469" s="249"/>
      <c r="BJ469" s="249"/>
      <c r="BK469" s="249"/>
      <c r="BL469" s="249"/>
      <c r="BM469" s="249"/>
      <c r="BN469" s="249"/>
      <c r="BO469" s="249"/>
      <c r="BP469" s="249"/>
      <c r="BQ469" s="249"/>
      <c r="BR469" s="249"/>
    </row>
    <row r="470" spans="19:70" s="134" customFormat="1">
      <c r="S470" s="249"/>
      <c r="T470" s="249"/>
      <c r="U470" s="249"/>
      <c r="V470" s="249"/>
      <c r="W470" s="249"/>
      <c r="X470" s="249"/>
      <c r="Y470" s="249"/>
      <c r="Z470" s="249"/>
      <c r="AA470" s="249"/>
      <c r="AB470" s="249"/>
      <c r="AC470" s="249"/>
      <c r="AD470" s="249"/>
      <c r="AE470" s="249"/>
      <c r="AF470" s="249"/>
      <c r="AG470" s="249"/>
      <c r="AH470" s="249"/>
      <c r="AI470" s="249"/>
      <c r="AJ470" s="249"/>
      <c r="AK470" s="249"/>
      <c r="AL470" s="249"/>
      <c r="AM470" s="249"/>
      <c r="AN470" s="249"/>
      <c r="AO470" s="249"/>
      <c r="AP470" s="249"/>
      <c r="AQ470" s="249"/>
      <c r="AR470" s="249"/>
      <c r="AS470" s="249"/>
      <c r="AT470" s="249"/>
      <c r="AU470" s="249"/>
      <c r="AV470" s="249"/>
      <c r="AW470" s="249"/>
      <c r="AX470" s="249"/>
      <c r="AY470" s="249"/>
      <c r="AZ470" s="249"/>
      <c r="BA470" s="249"/>
      <c r="BB470" s="249"/>
      <c r="BC470" s="249"/>
      <c r="BD470" s="249"/>
      <c r="BE470" s="249"/>
      <c r="BF470" s="249"/>
      <c r="BG470" s="249"/>
      <c r="BH470" s="249"/>
      <c r="BI470" s="249"/>
      <c r="BJ470" s="249"/>
      <c r="BK470" s="249"/>
      <c r="BL470" s="249"/>
      <c r="BM470" s="249"/>
      <c r="BN470" s="249"/>
      <c r="BO470" s="249"/>
      <c r="BP470" s="249"/>
      <c r="BQ470" s="249"/>
      <c r="BR470" s="249"/>
    </row>
    <row r="471" spans="19:70" s="134" customFormat="1">
      <c r="S471" s="249"/>
      <c r="T471" s="249"/>
      <c r="U471" s="249"/>
      <c r="V471" s="249"/>
      <c r="W471" s="249"/>
      <c r="X471" s="249"/>
      <c r="Y471" s="249"/>
      <c r="Z471" s="249"/>
      <c r="AA471" s="249"/>
      <c r="AB471" s="249"/>
      <c r="AC471" s="249"/>
      <c r="AD471" s="249"/>
      <c r="AE471" s="249"/>
      <c r="AF471" s="249"/>
      <c r="AG471" s="249"/>
      <c r="AH471" s="249"/>
      <c r="AI471" s="249"/>
      <c r="AJ471" s="249"/>
      <c r="AK471" s="249"/>
      <c r="AL471" s="249"/>
      <c r="AM471" s="249"/>
      <c r="AN471" s="249"/>
      <c r="AO471" s="249"/>
      <c r="AP471" s="249"/>
      <c r="AQ471" s="249"/>
      <c r="AR471" s="249"/>
      <c r="AS471" s="249"/>
      <c r="AT471" s="249"/>
      <c r="AU471" s="249"/>
      <c r="AV471" s="249"/>
      <c r="AW471" s="249"/>
      <c r="AX471" s="249"/>
      <c r="AY471" s="249"/>
      <c r="AZ471" s="249"/>
      <c r="BA471" s="249"/>
      <c r="BB471" s="249"/>
      <c r="BC471" s="249"/>
      <c r="BD471" s="249"/>
      <c r="BE471" s="249"/>
      <c r="BF471" s="249"/>
      <c r="BG471" s="249"/>
      <c r="BH471" s="249"/>
      <c r="BI471" s="249"/>
      <c r="BJ471" s="249"/>
      <c r="BK471" s="249"/>
      <c r="BL471" s="249"/>
      <c r="BM471" s="249"/>
      <c r="BN471" s="249"/>
      <c r="BO471" s="249"/>
      <c r="BP471" s="249"/>
      <c r="BQ471" s="249"/>
      <c r="BR471" s="249"/>
    </row>
    <row r="472" spans="19:70" s="134" customFormat="1">
      <c r="S472" s="249"/>
      <c r="T472" s="249"/>
      <c r="U472" s="249"/>
      <c r="V472" s="249"/>
      <c r="W472" s="249"/>
      <c r="X472" s="249"/>
      <c r="Y472" s="249"/>
      <c r="Z472" s="249"/>
      <c r="AA472" s="249"/>
      <c r="AB472" s="249"/>
      <c r="AC472" s="249"/>
      <c r="AD472" s="249"/>
      <c r="AE472" s="249"/>
      <c r="AF472" s="249"/>
      <c r="AG472" s="249"/>
      <c r="AH472" s="249"/>
      <c r="AI472" s="249"/>
      <c r="AJ472" s="249"/>
      <c r="AK472" s="249"/>
      <c r="AL472" s="249"/>
      <c r="AM472" s="249"/>
      <c r="AN472" s="249"/>
      <c r="AO472" s="249"/>
      <c r="AP472" s="249"/>
      <c r="AQ472" s="249"/>
      <c r="AR472" s="249"/>
      <c r="AS472" s="249"/>
      <c r="AT472" s="249"/>
      <c r="AU472" s="249"/>
      <c r="AV472" s="249"/>
      <c r="AW472" s="249"/>
      <c r="AX472" s="249"/>
      <c r="AY472" s="249"/>
      <c r="AZ472" s="249"/>
      <c r="BA472" s="249"/>
      <c r="BB472" s="249"/>
      <c r="BC472" s="249"/>
      <c r="BD472" s="249"/>
      <c r="BE472" s="249"/>
      <c r="BF472" s="249"/>
      <c r="BG472" s="249"/>
      <c r="BH472" s="249"/>
      <c r="BI472" s="249"/>
      <c r="BJ472" s="249"/>
      <c r="BK472" s="249"/>
      <c r="BL472" s="249"/>
      <c r="BM472" s="249"/>
      <c r="BN472" s="249"/>
      <c r="BO472" s="249"/>
      <c r="BP472" s="249"/>
      <c r="BQ472" s="249"/>
      <c r="BR472" s="249"/>
    </row>
    <row r="473" spans="19:70" s="134" customFormat="1">
      <c r="S473" s="249"/>
      <c r="T473" s="249"/>
      <c r="U473" s="249"/>
      <c r="V473" s="249"/>
      <c r="W473" s="249"/>
      <c r="X473" s="249"/>
      <c r="Y473" s="249"/>
      <c r="Z473" s="249"/>
      <c r="AA473" s="249"/>
      <c r="AB473" s="249"/>
      <c r="AC473" s="249"/>
      <c r="AD473" s="249"/>
      <c r="AE473" s="249"/>
      <c r="AF473" s="249"/>
      <c r="AG473" s="249"/>
      <c r="AH473" s="249"/>
      <c r="AI473" s="249"/>
      <c r="AJ473" s="249"/>
      <c r="AK473" s="249"/>
      <c r="AL473" s="249"/>
      <c r="AM473" s="249"/>
      <c r="AN473" s="249"/>
      <c r="AO473" s="249"/>
      <c r="AP473" s="249"/>
      <c r="AQ473" s="249"/>
      <c r="AR473" s="249"/>
      <c r="AS473" s="249"/>
      <c r="AT473" s="249"/>
      <c r="AU473" s="249"/>
      <c r="AV473" s="249"/>
      <c r="AW473" s="249"/>
      <c r="AX473" s="249"/>
      <c r="AY473" s="249"/>
      <c r="AZ473" s="249"/>
      <c r="BA473" s="249"/>
      <c r="BB473" s="249"/>
      <c r="BC473" s="249"/>
      <c r="BD473" s="249"/>
      <c r="BE473" s="249"/>
      <c r="BF473" s="249"/>
      <c r="BG473" s="249"/>
      <c r="BH473" s="249"/>
      <c r="BI473" s="249"/>
      <c r="BJ473" s="249"/>
      <c r="BK473" s="249"/>
      <c r="BL473" s="249"/>
      <c r="BM473" s="249"/>
      <c r="BN473" s="249"/>
      <c r="BO473" s="249"/>
      <c r="BP473" s="249"/>
      <c r="BQ473" s="249"/>
      <c r="BR473" s="249"/>
    </row>
    <row r="474" spans="19:70" s="134" customFormat="1">
      <c r="S474" s="249"/>
      <c r="T474" s="249"/>
      <c r="U474" s="249"/>
      <c r="V474" s="249"/>
      <c r="W474" s="249"/>
      <c r="X474" s="249"/>
      <c r="Y474" s="249"/>
      <c r="Z474" s="249"/>
      <c r="AA474" s="249"/>
      <c r="AB474" s="249"/>
      <c r="AC474" s="249"/>
      <c r="AD474" s="249"/>
      <c r="AE474" s="249"/>
      <c r="AF474" s="249"/>
      <c r="AG474" s="249"/>
      <c r="AH474" s="249"/>
      <c r="AI474" s="249"/>
      <c r="AJ474" s="249"/>
      <c r="AK474" s="249"/>
      <c r="AL474" s="249"/>
      <c r="AM474" s="249"/>
      <c r="AN474" s="249"/>
      <c r="AO474" s="249"/>
      <c r="AP474" s="249"/>
      <c r="AQ474" s="249"/>
      <c r="AR474" s="249"/>
      <c r="AS474" s="249"/>
      <c r="AT474" s="249"/>
      <c r="AU474" s="249"/>
      <c r="AV474" s="249"/>
      <c r="AW474" s="249"/>
      <c r="AX474" s="249"/>
      <c r="AY474" s="249"/>
      <c r="AZ474" s="249"/>
      <c r="BA474" s="249"/>
      <c r="BB474" s="249"/>
      <c r="BC474" s="249"/>
      <c r="BD474" s="249"/>
      <c r="BE474" s="249"/>
      <c r="BF474" s="249"/>
      <c r="BG474" s="249"/>
      <c r="BH474" s="249"/>
      <c r="BI474" s="249"/>
      <c r="BJ474" s="249"/>
      <c r="BK474" s="249"/>
      <c r="BL474" s="249"/>
      <c r="BM474" s="249"/>
      <c r="BN474" s="249"/>
      <c r="BO474" s="249"/>
      <c r="BP474" s="249"/>
      <c r="BQ474" s="249"/>
      <c r="BR474" s="249"/>
    </row>
    <row r="475" spans="19:70" s="134" customFormat="1">
      <c r="S475" s="249"/>
      <c r="T475" s="249"/>
      <c r="U475" s="249"/>
      <c r="V475" s="249"/>
      <c r="W475" s="249"/>
      <c r="X475" s="249"/>
      <c r="Y475" s="249"/>
      <c r="Z475" s="249"/>
      <c r="AA475" s="249"/>
      <c r="AB475" s="249"/>
      <c r="AC475" s="249"/>
      <c r="AD475" s="249"/>
      <c r="AE475" s="249"/>
      <c r="AF475" s="249"/>
      <c r="AG475" s="249"/>
      <c r="AH475" s="249"/>
      <c r="AI475" s="249"/>
      <c r="AJ475" s="249"/>
      <c r="AK475" s="249"/>
      <c r="AL475" s="249"/>
      <c r="AM475" s="249"/>
      <c r="AN475" s="249"/>
      <c r="AO475" s="249"/>
      <c r="AP475" s="249"/>
      <c r="AQ475" s="249"/>
      <c r="AR475" s="249"/>
      <c r="AS475" s="249"/>
      <c r="AT475" s="249"/>
      <c r="AU475" s="249"/>
      <c r="AV475" s="249"/>
      <c r="AW475" s="249"/>
      <c r="AX475" s="249"/>
      <c r="AY475" s="249"/>
      <c r="AZ475" s="249"/>
      <c r="BA475" s="249"/>
      <c r="BB475" s="249"/>
      <c r="BC475" s="249"/>
      <c r="BD475" s="249"/>
      <c r="BE475" s="249"/>
      <c r="BF475" s="249"/>
      <c r="BG475" s="249"/>
      <c r="BH475" s="249"/>
      <c r="BI475" s="249"/>
      <c r="BJ475" s="249"/>
      <c r="BK475" s="249"/>
      <c r="BL475" s="249"/>
      <c r="BM475" s="249"/>
      <c r="BN475" s="249"/>
      <c r="BO475" s="249"/>
      <c r="BP475" s="249"/>
      <c r="BQ475" s="249"/>
      <c r="BR475" s="249"/>
    </row>
    <row r="476" spans="19:70" s="134" customFormat="1">
      <c r="S476" s="249"/>
      <c r="T476" s="249"/>
      <c r="U476" s="249"/>
      <c r="V476" s="249"/>
      <c r="W476" s="249"/>
      <c r="X476" s="249"/>
      <c r="Y476" s="249"/>
      <c r="Z476" s="249"/>
      <c r="AA476" s="249"/>
      <c r="AB476" s="249"/>
      <c r="AC476" s="249"/>
      <c r="AD476" s="249"/>
      <c r="AE476" s="249"/>
      <c r="AF476" s="249"/>
      <c r="AG476" s="249"/>
      <c r="AH476" s="249"/>
      <c r="AI476" s="249"/>
      <c r="AJ476" s="249"/>
      <c r="AK476" s="249"/>
      <c r="AL476" s="249"/>
      <c r="AM476" s="249"/>
      <c r="AN476" s="249"/>
      <c r="AO476" s="249"/>
      <c r="AP476" s="249"/>
      <c r="AQ476" s="249"/>
      <c r="AR476" s="249"/>
      <c r="AS476" s="249"/>
      <c r="AT476" s="249"/>
      <c r="AU476" s="249"/>
      <c r="AV476" s="249"/>
      <c r="AW476" s="249"/>
      <c r="AX476" s="249"/>
      <c r="AY476" s="249"/>
      <c r="AZ476" s="249"/>
      <c r="BA476" s="249"/>
      <c r="BB476" s="249"/>
      <c r="BC476" s="249"/>
      <c r="BD476" s="249"/>
      <c r="BE476" s="249"/>
      <c r="BF476" s="249"/>
      <c r="BG476" s="249"/>
      <c r="BH476" s="249"/>
      <c r="BI476" s="249"/>
      <c r="BJ476" s="249"/>
      <c r="BK476" s="249"/>
      <c r="BL476" s="249"/>
      <c r="BM476" s="249"/>
      <c r="BN476" s="249"/>
      <c r="BO476" s="249"/>
      <c r="BP476" s="249"/>
      <c r="BQ476" s="249"/>
      <c r="BR476" s="249"/>
    </row>
    <row r="477" spans="19:70" s="134" customFormat="1">
      <c r="S477" s="249"/>
      <c r="T477" s="249"/>
      <c r="U477" s="249"/>
      <c r="V477" s="249"/>
      <c r="W477" s="249"/>
      <c r="X477" s="249"/>
      <c r="Y477" s="249"/>
      <c r="Z477" s="249"/>
      <c r="AA477" s="249"/>
      <c r="AB477" s="249"/>
      <c r="AC477" s="249"/>
      <c r="AD477" s="249"/>
      <c r="AE477" s="249"/>
      <c r="AF477" s="249"/>
      <c r="AG477" s="249"/>
      <c r="AH477" s="249"/>
      <c r="AI477" s="249"/>
      <c r="AJ477" s="249"/>
      <c r="AK477" s="249"/>
      <c r="AL477" s="249"/>
      <c r="AM477" s="249"/>
      <c r="AN477" s="249"/>
      <c r="AO477" s="249"/>
      <c r="AP477" s="249"/>
      <c r="AQ477" s="249"/>
      <c r="AR477" s="249"/>
      <c r="AS477" s="249"/>
      <c r="AT477" s="249"/>
      <c r="AU477" s="249"/>
      <c r="AV477" s="249"/>
      <c r="AW477" s="249"/>
      <c r="AX477" s="249"/>
      <c r="AY477" s="249"/>
      <c r="AZ477" s="249"/>
      <c r="BA477" s="249"/>
      <c r="BB477" s="249"/>
      <c r="BC477" s="249"/>
      <c r="BD477" s="249"/>
      <c r="BE477" s="249"/>
      <c r="BF477" s="249"/>
      <c r="BG477" s="249"/>
      <c r="BH477" s="249"/>
      <c r="BI477" s="249"/>
      <c r="BJ477" s="249"/>
      <c r="BK477" s="249"/>
      <c r="BL477" s="249"/>
      <c r="BM477" s="249"/>
      <c r="BN477" s="249"/>
      <c r="BO477" s="249"/>
      <c r="BP477" s="249"/>
      <c r="BQ477" s="249"/>
      <c r="BR477" s="249"/>
    </row>
    <row r="478" spans="19:70" s="134" customFormat="1">
      <c r="S478" s="249"/>
      <c r="T478" s="249"/>
      <c r="U478" s="249"/>
      <c r="V478" s="249"/>
      <c r="W478" s="249"/>
      <c r="X478" s="249"/>
      <c r="Y478" s="249"/>
      <c r="Z478" s="249"/>
      <c r="AA478" s="249"/>
      <c r="AB478" s="249"/>
      <c r="AC478" s="249"/>
      <c r="AD478" s="249"/>
      <c r="AE478" s="249"/>
      <c r="AF478" s="249"/>
      <c r="AG478" s="249"/>
      <c r="AH478" s="249"/>
      <c r="AI478" s="249"/>
      <c r="AJ478" s="249"/>
      <c r="AK478" s="249"/>
      <c r="AL478" s="249"/>
      <c r="AM478" s="249"/>
      <c r="AN478" s="249"/>
      <c r="AO478" s="249"/>
      <c r="AP478" s="249"/>
      <c r="AQ478" s="249"/>
      <c r="AR478" s="249"/>
      <c r="AS478" s="249"/>
      <c r="AT478" s="249"/>
      <c r="AU478" s="249"/>
      <c r="AV478" s="249"/>
      <c r="AW478" s="249"/>
      <c r="AX478" s="249"/>
      <c r="AY478" s="249"/>
      <c r="AZ478" s="249"/>
      <c r="BA478" s="249"/>
      <c r="BB478" s="249"/>
      <c r="BC478" s="249"/>
      <c r="BD478" s="249"/>
      <c r="BE478" s="249"/>
      <c r="BF478" s="249"/>
      <c r="BG478" s="249"/>
      <c r="BH478" s="249"/>
      <c r="BI478" s="249"/>
      <c r="BJ478" s="249"/>
      <c r="BK478" s="249"/>
      <c r="BL478" s="249"/>
      <c r="BM478" s="249"/>
      <c r="BN478" s="249"/>
      <c r="BO478" s="249"/>
      <c r="BP478" s="249"/>
      <c r="BQ478" s="249"/>
      <c r="BR478" s="249"/>
    </row>
  </sheetData>
  <sheetProtection password="8D61" sheet="1" objects="1" scenarios="1" selectLockedCells="1"/>
  <mergeCells count="164">
    <mergeCell ref="M78:P78"/>
    <mergeCell ref="M76:P77"/>
    <mergeCell ref="D77:H77"/>
    <mergeCell ref="K77:L77"/>
    <mergeCell ref="I77:J77"/>
    <mergeCell ref="D70:P71"/>
    <mergeCell ref="C67:D67"/>
    <mergeCell ref="J57:K57"/>
    <mergeCell ref="L57:P57"/>
    <mergeCell ref="N16:R17"/>
    <mergeCell ref="N18:R19"/>
    <mergeCell ref="N25:R26"/>
    <mergeCell ref="N23:R24"/>
    <mergeCell ref="N14:R15"/>
    <mergeCell ref="N21:R22"/>
    <mergeCell ref="P245:Q246"/>
    <mergeCell ref="M94:P94"/>
    <mergeCell ref="B39:Q39"/>
    <mergeCell ref="B53:Q53"/>
    <mergeCell ref="B64:Q64"/>
    <mergeCell ref="M92:P93"/>
    <mergeCell ref="D93:H93"/>
    <mergeCell ref="I93:J93"/>
    <mergeCell ref="D107:P107"/>
    <mergeCell ref="D78:H78"/>
    <mergeCell ref="K78:L78"/>
    <mergeCell ref="M81:P82"/>
    <mergeCell ref="D82:H82"/>
    <mergeCell ref="K82:L82"/>
    <mergeCell ref="I82:J82"/>
    <mergeCell ref="I78:J78"/>
    <mergeCell ref="A1:R1"/>
    <mergeCell ref="A2:R2"/>
    <mergeCell ref="A3:R3"/>
    <mergeCell ref="D35:F35"/>
    <mergeCell ref="D34:F34"/>
    <mergeCell ref="H5:I5"/>
    <mergeCell ref="H6:I6"/>
    <mergeCell ref="N5:O5"/>
    <mergeCell ref="N12:R13"/>
    <mergeCell ref="B12:C26"/>
    <mergeCell ref="N8:R11"/>
    <mergeCell ref="B30:C37"/>
    <mergeCell ref="B156:Q156"/>
    <mergeCell ref="F55:K55"/>
    <mergeCell ref="A38:R38"/>
    <mergeCell ref="F56:G56"/>
    <mergeCell ref="H56:I56"/>
    <mergeCell ref="L55:P56"/>
    <mergeCell ref="B110:Q110"/>
    <mergeCell ref="N43:Q44"/>
    <mergeCell ref="L66:P66"/>
    <mergeCell ref="B136:Q136"/>
    <mergeCell ref="B117:C121"/>
    <mergeCell ref="J56:K56"/>
    <mergeCell ref="I94:J94"/>
    <mergeCell ref="K94:L94"/>
    <mergeCell ref="D97:P97"/>
    <mergeCell ref="B90:Q90"/>
    <mergeCell ref="B128:C130"/>
    <mergeCell ref="B132:C134"/>
    <mergeCell ref="H115:L115"/>
    <mergeCell ref="F67:K67"/>
    <mergeCell ref="L67:P67"/>
    <mergeCell ref="D60:P61"/>
    <mergeCell ref="F57:G57"/>
    <mergeCell ref="H57:I57"/>
    <mergeCell ref="D37:F37"/>
    <mergeCell ref="D36:F36"/>
    <mergeCell ref="B74:Q74"/>
    <mergeCell ref="P169:Q170"/>
    <mergeCell ref="D169:K169"/>
    <mergeCell ref="I103:J103"/>
    <mergeCell ref="D83:H83"/>
    <mergeCell ref="C66:D66"/>
    <mergeCell ref="B168:Q168"/>
    <mergeCell ref="M104:P104"/>
    <mergeCell ref="M102:P103"/>
    <mergeCell ref="D103:H103"/>
    <mergeCell ref="K103:L103"/>
    <mergeCell ref="K83:L83"/>
    <mergeCell ref="I83:J83"/>
    <mergeCell ref="B100:Q100"/>
    <mergeCell ref="M83:P83"/>
    <mergeCell ref="K93:L93"/>
    <mergeCell ref="D104:H104"/>
    <mergeCell ref="K104:L104"/>
    <mergeCell ref="I104:J104"/>
    <mergeCell ref="B123:C127"/>
    <mergeCell ref="D86:P87"/>
    <mergeCell ref="D94:H94"/>
    <mergeCell ref="P175:Q175"/>
    <mergeCell ref="B166:Q166"/>
    <mergeCell ref="H175:K175"/>
    <mergeCell ref="N172:O172"/>
    <mergeCell ref="P172:Q172"/>
    <mergeCell ref="F170:G170"/>
    <mergeCell ref="H170:J170"/>
    <mergeCell ref="N169:O170"/>
    <mergeCell ref="H173:J173"/>
    <mergeCell ref="H172:K172"/>
    <mergeCell ref="N115:Q115"/>
    <mergeCell ref="H191:J191"/>
    <mergeCell ref="H195:K195"/>
    <mergeCell ref="H202:K202"/>
    <mergeCell ref="H176:J176"/>
    <mergeCell ref="N189:O189"/>
    <mergeCell ref="P189:Q189"/>
    <mergeCell ref="N178:O178"/>
    <mergeCell ref="P178:Q178"/>
    <mergeCell ref="N180:O180"/>
    <mergeCell ref="P180:Q180"/>
    <mergeCell ref="H178:J178"/>
    <mergeCell ref="H184:J184"/>
    <mergeCell ref="H180:K180"/>
    <mergeCell ref="N184:O184"/>
    <mergeCell ref="H181:J181"/>
    <mergeCell ref="H185:J185"/>
    <mergeCell ref="H186:J186"/>
    <mergeCell ref="H187:J187"/>
    <mergeCell ref="N193:O193"/>
    <mergeCell ref="N191:O191"/>
    <mergeCell ref="P184:Q184"/>
    <mergeCell ref="N186:O186"/>
    <mergeCell ref="N175:O175"/>
    <mergeCell ref="P186:Q186"/>
    <mergeCell ref="H192:J192"/>
    <mergeCell ref="H189:J189"/>
    <mergeCell ref="H209:J209"/>
    <mergeCell ref="H213:J213"/>
    <mergeCell ref="N213:O213"/>
    <mergeCell ref="P213:Q213"/>
    <mergeCell ref="P193:Q193"/>
    <mergeCell ref="N202:O202"/>
    <mergeCell ref="P202:Q202"/>
    <mergeCell ref="N195:O195"/>
    <mergeCell ref="P195:Q195"/>
    <mergeCell ref="N200:O200"/>
    <mergeCell ref="N208:O208"/>
    <mergeCell ref="P208:Q208"/>
    <mergeCell ref="N205:O205"/>
    <mergeCell ref="P205:Q205"/>
    <mergeCell ref="H205:J205"/>
    <mergeCell ref="P191:Q191"/>
    <mergeCell ref="H208:J208"/>
    <mergeCell ref="P200:Q200"/>
    <mergeCell ref="H203:J203"/>
    <mergeCell ref="H196:J196"/>
    <mergeCell ref="H200:J200"/>
    <mergeCell ref="D231:F231"/>
    <mergeCell ref="H222:Q223"/>
    <mergeCell ref="P211:Q211"/>
    <mergeCell ref="N211:O211"/>
    <mergeCell ref="H231:O231"/>
    <mergeCell ref="B227:Q227"/>
    <mergeCell ref="B225:Q225"/>
    <mergeCell ref="D215:Q217"/>
    <mergeCell ref="P241:Q243"/>
    <mergeCell ref="D232:F232"/>
    <mergeCell ref="I232:N232"/>
    <mergeCell ref="P236:Q237"/>
    <mergeCell ref="D239:F239"/>
    <mergeCell ref="H239:O239"/>
    <mergeCell ref="P233:Q235"/>
  </mergeCells>
  <phoneticPr fontId="3" type="noConversion"/>
  <dataValidations count="4">
    <dataValidation type="whole" allowBlank="1" showInputMessage="1" showErrorMessage="1" errorTitle="LDB Error" error="The LDB score must be between 0 and 8" sqref="G36:G37" xr:uid="{00000000-0002-0000-0100-000000000000}">
      <formula1>0</formula1>
      <formula2>8</formula2>
    </dataValidation>
    <dataValidation type="whole" allowBlank="1" showInputMessage="1" showErrorMessage="1" errorTitle="Scaled Score Error" error="Scaled Scores must be between 1 and 19" sqref="F12:F26" xr:uid="{00000000-0002-0000-0100-000001000000}">
      <formula1>1</formula1>
      <formula2>19</formula2>
    </dataValidation>
    <dataValidation type="whole" allowBlank="1" showInputMessage="1" showErrorMessage="1" errorTitle="LDF Error" error="The LDF score must be between 0 and 9" sqref="G35" xr:uid="{00000000-0002-0000-0100-000002000000}">
      <formula1>0</formula1>
      <formula2>9</formula2>
    </dataValidation>
    <dataValidation type="whole" allowBlank="1" showInputMessage="1" showErrorMessage="1" errorTitle="Scaled Score Error" error="Scaled scores must be between 1 and 19" sqref="F30:F33 G34" xr:uid="{00000000-0002-0000-0100-000003000000}">
      <formula1>1</formula1>
      <formula2>19</formula2>
    </dataValidation>
  </dataValidations>
  <printOptions horizontalCentered="1" verticalCentered="1"/>
  <pageMargins left="0" right="0" top="1" bottom="1" header="0.5" footer="0.5"/>
  <pageSetup scale="97" fitToHeight="8" orientation="portrait" horizontalDpi="360" verticalDpi="300" r:id="rId1"/>
  <headerFooter alignWithMargins="0">
    <oddHeader>&amp;C&amp;18DUMONT - WILLIS WAIS-IV Computer Template</oddHeader>
    <oddFooter>&amp;L&amp;8WAIS-IV © The Psychological Corporation All rights reserved &amp;R&amp;8Page &amp;P  WAIS-IV Template © Dumont - Willis 2008</oddFooter>
  </headerFooter>
  <rowBreaks count="3" manualBreakCount="3">
    <brk id="37" max="16383" man="1"/>
    <brk id="99" max="16383" man="1"/>
    <brk id="219" max="16383"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indexed="26"/>
  </sheetPr>
  <dimension ref="B1:R42"/>
  <sheetViews>
    <sheetView showGridLines="0" zoomScale="110" zoomScaleNormal="110" workbookViewId="0">
      <selection activeCell="O2" sqref="O2"/>
    </sheetView>
  </sheetViews>
  <sheetFormatPr defaultRowHeight="12"/>
  <cols>
    <col min="1" max="1" width="1.5703125" style="37" customWidth="1"/>
    <col min="2" max="2" width="26.5703125" style="37" customWidth="1"/>
    <col min="3" max="3" width="1.42578125" style="37" customWidth="1"/>
    <col min="4" max="10" width="4.85546875" style="37" customWidth="1"/>
    <col min="11" max="11" width="5.5703125" style="37" customWidth="1"/>
    <col min="12" max="18" width="4.85546875" style="37" customWidth="1"/>
    <col min="19" max="16384" width="9.140625" style="37"/>
  </cols>
  <sheetData>
    <row r="1" spans="2:18" ht="6" customHeight="1"/>
    <row r="2" spans="2:18">
      <c r="B2" s="149" t="s">
        <v>305</v>
      </c>
      <c r="C2" s="149"/>
      <c r="D2" s="149"/>
      <c r="E2" s="149"/>
      <c r="F2" s="149"/>
      <c r="G2" s="149"/>
      <c r="H2" s="149"/>
      <c r="I2" s="149"/>
      <c r="J2" s="149"/>
      <c r="K2" s="152"/>
      <c r="L2" s="149"/>
      <c r="M2" s="150"/>
      <c r="N2" s="152"/>
      <c r="O2" s="73"/>
      <c r="P2" s="2"/>
    </row>
    <row r="3" spans="2:18" ht="4.5" customHeight="1">
      <c r="B3" s="2"/>
      <c r="C3" s="2"/>
      <c r="D3" s="2"/>
      <c r="E3" s="175"/>
      <c r="F3" s="2"/>
      <c r="G3" s="175"/>
      <c r="H3" s="175"/>
      <c r="I3" s="2"/>
      <c r="J3" s="2"/>
      <c r="L3" s="2"/>
      <c r="M3" s="175"/>
      <c r="N3" s="175"/>
      <c r="O3" s="175"/>
      <c r="P3" s="2"/>
      <c r="Q3" s="2"/>
      <c r="R3" s="4"/>
    </row>
    <row r="4" spans="2:18" ht="19.5" customHeight="1">
      <c r="B4" s="2"/>
      <c r="C4" s="2"/>
      <c r="D4" s="356" t="s">
        <v>152</v>
      </c>
      <c r="E4" s="356"/>
      <c r="F4" s="356"/>
      <c r="G4" s="356"/>
      <c r="H4" s="356" t="s">
        <v>86</v>
      </c>
      <c r="I4" s="356"/>
      <c r="J4" s="356"/>
      <c r="K4" s="356"/>
      <c r="L4" s="356"/>
      <c r="M4" s="356" t="s">
        <v>87</v>
      </c>
      <c r="N4" s="356"/>
      <c r="O4" s="356"/>
      <c r="P4" s="356" t="s">
        <v>92</v>
      </c>
      <c r="Q4" s="356"/>
      <c r="R4" s="356"/>
    </row>
    <row r="5" spans="2:18">
      <c r="B5" s="2"/>
      <c r="C5" s="2"/>
      <c r="D5" s="151" t="s">
        <v>176</v>
      </c>
      <c r="E5" s="70" t="s">
        <v>173</v>
      </c>
      <c r="F5" s="151" t="s">
        <v>306</v>
      </c>
      <c r="G5" s="70" t="s">
        <v>175</v>
      </c>
      <c r="H5" s="70" t="s">
        <v>307</v>
      </c>
      <c r="I5" s="151" t="s">
        <v>308</v>
      </c>
      <c r="J5" s="151" t="s">
        <v>40</v>
      </c>
      <c r="K5" s="151" t="s">
        <v>309</v>
      </c>
      <c r="L5" s="70" t="s">
        <v>310</v>
      </c>
      <c r="M5" s="70" t="s">
        <v>172</v>
      </c>
      <c r="N5" s="70" t="s">
        <v>174</v>
      </c>
      <c r="O5" s="70" t="s">
        <v>311</v>
      </c>
      <c r="P5" s="70" t="s">
        <v>37</v>
      </c>
      <c r="Q5" s="70" t="s">
        <v>312</v>
      </c>
      <c r="R5" s="70" t="s">
        <v>313</v>
      </c>
    </row>
    <row r="6" spans="2:18">
      <c r="B6" s="2"/>
      <c r="C6" s="4" t="s">
        <v>314</v>
      </c>
      <c r="D6" s="71">
        <f>IF(O2="F",'WAIS-IV'!P117,'WAIS-IV'!K117)</f>
        <v>3.25</v>
      </c>
      <c r="E6" s="71">
        <f>IF(O2="F",'WAIS-IV'!P118,'WAIS-IV'!K118)</f>
        <v>-1.75</v>
      </c>
      <c r="F6" s="71">
        <f>IF(O2="F",'WAIS-IV'!P119,'WAIS-IV'!K119)</f>
        <v>-0.75</v>
      </c>
      <c r="G6" s="71">
        <f>IF(O2="F",'WAIS-IV'!P120,'WAIS-IV'!K120)</f>
        <v>-0.75</v>
      </c>
      <c r="H6" s="71">
        <f>IF(O2="F",'WAIS-IV'!P122,'WAIS-IV'!K122)</f>
        <v>-2.1999999999999993</v>
      </c>
      <c r="I6" s="71">
        <f>IF(O2="F",'WAIS-IV'!P123,'WAIS-IV'!K123)</f>
        <v>3.8000000000000007</v>
      </c>
      <c r="J6" s="71">
        <f>IF(O2="F",'WAIS-IV'!P124,'WAIS-IV'!K124)</f>
        <v>-3.1999999999999993</v>
      </c>
      <c r="K6" s="71">
        <f>IF(O2="F",'WAIS-IV'!P125,'WAIS-IV'!K125)</f>
        <v>3.8000000000000007</v>
      </c>
      <c r="L6" s="71">
        <f>IF(O2="F",'WAIS-IV'!P126,'WAIS-IV'!K126)</f>
        <v>-2.1999999999999993</v>
      </c>
      <c r="M6" s="71">
        <f>'WAIS-IV'!P128</f>
        <v>0.46666666666666679</v>
      </c>
      <c r="N6" s="71">
        <f>'WAIS-IV'!P129</f>
        <v>4.4666666666666668</v>
      </c>
      <c r="O6" s="71">
        <f>'WAIS-IV'!P130</f>
        <v>-0.53333333333333321</v>
      </c>
      <c r="P6" s="71">
        <f>'WAIS-IV'!P132</f>
        <v>-1.5333333333333332</v>
      </c>
      <c r="Q6" s="71">
        <f>'WAIS-IV'!P133</f>
        <v>-6.5333333333333332</v>
      </c>
      <c r="R6" s="71">
        <f>'WAIS-IV'!P134</f>
        <v>-4.5333333333333332</v>
      </c>
    </row>
    <row r="7" spans="2:18">
      <c r="B7" s="2"/>
      <c r="C7" s="4" t="s">
        <v>315</v>
      </c>
      <c r="D7" s="70" t="str">
        <f>IF(O2="F",'WAIS-IV'!Q117,'WAIS-IV'!L117)</f>
        <v>s</v>
      </c>
      <c r="E7" s="70" t="str">
        <f>IF(O2="F",'WAIS-IV'!Q118,'WAIS-IV'!L118)</f>
        <v>w</v>
      </c>
      <c r="F7" s="70" t="str">
        <f>IF(O2="F",'WAIS-IV'!Q120,'WAIS-IV'!L120)</f>
        <v/>
      </c>
      <c r="G7" s="70" t="str">
        <f>IF(O2="F",'WAIS-IV'!Q119,'WAIS-IV'!L119)</f>
        <v/>
      </c>
      <c r="H7" s="70" t="str">
        <f>IF(O2="F",'WAIS-IV'!Q122,'WAIS-IV'!L122)</f>
        <v>w</v>
      </c>
      <c r="I7" s="70" t="str">
        <f>IF(O2="F",'WAIS-IV'!Q123,'WAIS-IV'!L123)</f>
        <v>s</v>
      </c>
      <c r="J7" s="70" t="str">
        <f>IF(O2="F",'WAIS-IV'!Q124,'WAIS-IV'!L124)</f>
        <v>w</v>
      </c>
      <c r="K7" s="70" t="str">
        <f>IF(O2="F",'WAIS-IV'!Q125,'WAIS-IV'!L125)</f>
        <v>s</v>
      </c>
      <c r="L7" s="70" t="str">
        <f>IF(O2="F",'WAIS-IV'!Q126,'WAIS-IV'!L126)</f>
        <v>w</v>
      </c>
      <c r="M7" s="70" t="str">
        <f>'WAIS-IV'!Q128</f>
        <v/>
      </c>
      <c r="N7" s="70" t="str">
        <f>'WAIS-IV'!Q129</f>
        <v>s</v>
      </c>
      <c r="O7" s="70" t="str">
        <f>'WAIS-IV'!Q130</f>
        <v/>
      </c>
      <c r="P7" s="70" t="str">
        <f>'WAIS-IV'!Q132</f>
        <v/>
      </c>
      <c r="Q7" s="70" t="str">
        <f>'WAIS-IV'!Q133</f>
        <v>w</v>
      </c>
      <c r="R7" s="70" t="str">
        <f>'WAIS-IV'!Q134</f>
        <v>w</v>
      </c>
    </row>
    <row r="8" spans="2:18">
      <c r="B8" s="2"/>
      <c r="C8" s="4" t="s">
        <v>316</v>
      </c>
      <c r="D8" s="151" t="str">
        <f t="shared" ref="D8:Q8" si="0">IF(D6="","",IF(SIGN(D6)=1,"+",IF(SIGN(D6)=-1,"-","")))</f>
        <v>+</v>
      </c>
      <c r="E8" s="151" t="str">
        <f t="shared" si="0"/>
        <v>-</v>
      </c>
      <c r="F8" s="151" t="str">
        <f>IF(F6="","",IF(SIGN(F6)=1,"+",IF(SIGN(F6)=-1,"-","")))</f>
        <v>-</v>
      </c>
      <c r="G8" s="151" t="str">
        <f t="shared" si="0"/>
        <v>-</v>
      </c>
      <c r="H8" s="151" t="str">
        <f>IF(H6="","",IF(SIGN(H6)=1,"+",IF(SIGN(H6)=-1,"-","")))</f>
        <v>-</v>
      </c>
      <c r="I8" s="151" t="str">
        <f>IF(I6="","",IF(SIGN(I6)=1,"+",IF(SIGN(I6)=-1,"-","")))</f>
        <v>+</v>
      </c>
      <c r="J8" s="151" t="str">
        <f>IF(J6="","",IF(SIGN(J6)=1,"+",IF(SIGN(J6)=-1,"-","")))</f>
        <v>-</v>
      </c>
      <c r="K8" s="151" t="str">
        <f>IF(K6="","",IF(SIGN(K6)=1,"+",IF(SIGN(K6)=-1,"-","")))</f>
        <v>+</v>
      </c>
      <c r="L8" s="151" t="str">
        <f t="shared" si="0"/>
        <v>-</v>
      </c>
      <c r="M8" s="151" t="str">
        <f t="shared" si="0"/>
        <v>+</v>
      </c>
      <c r="N8" s="151" t="str">
        <f>IF(N6="","",IF(SIGN(N6)=1,"+",IF(SIGN(N6)=-1,"-","")))</f>
        <v>+</v>
      </c>
      <c r="O8" s="151" t="str">
        <f t="shared" si="0"/>
        <v>-</v>
      </c>
      <c r="P8" s="151" t="str">
        <f>IF(P6="","",IF(SIGN(P6)=1,"+",IF(SIGN(P6)=-1,"-","")))</f>
        <v>-</v>
      </c>
      <c r="Q8" s="151" t="str">
        <f t="shared" si="0"/>
        <v>-</v>
      </c>
      <c r="R8" s="151" t="str">
        <f>IF(R6="","",IF(SIGN(R6)=1,"+",IF(SIGN(R6)=-1,"-","")))</f>
        <v>-</v>
      </c>
    </row>
    <row r="9" spans="2:18">
      <c r="B9" s="355" t="s">
        <v>317</v>
      </c>
      <c r="C9" s="355"/>
      <c r="D9" s="355"/>
      <c r="E9" s="355"/>
      <c r="F9" s="355"/>
      <c r="G9" s="355"/>
      <c r="H9" s="355"/>
      <c r="I9" s="355"/>
      <c r="J9" s="355"/>
      <c r="K9" s="355"/>
      <c r="L9" s="355"/>
      <c r="M9" s="355"/>
      <c r="N9" s="355"/>
      <c r="O9" s="355"/>
      <c r="P9" s="355"/>
      <c r="Q9" s="355"/>
      <c r="R9" s="355"/>
    </row>
    <row r="10" spans="2:18">
      <c r="B10" s="2" t="s">
        <v>318</v>
      </c>
      <c r="C10" s="2"/>
      <c r="D10" s="153"/>
      <c r="E10" s="153"/>
      <c r="F10" s="153"/>
      <c r="G10" s="153"/>
      <c r="H10" s="153"/>
      <c r="I10" s="153"/>
      <c r="J10" s="153"/>
      <c r="K10" s="225"/>
      <c r="L10" s="72" t="str">
        <f t="shared" ref="L10:R10" si="1">IF(L7="",L8,L7)</f>
        <v>w</v>
      </c>
      <c r="M10" s="72" t="str">
        <f t="shared" si="1"/>
        <v>+</v>
      </c>
      <c r="N10" s="72" t="str">
        <f t="shared" si="1"/>
        <v>s</v>
      </c>
      <c r="O10" s="72" t="str">
        <f t="shared" si="1"/>
        <v>-</v>
      </c>
      <c r="P10" s="72" t="str">
        <f t="shared" si="1"/>
        <v>-</v>
      </c>
      <c r="Q10" s="72" t="str">
        <f t="shared" si="1"/>
        <v>w</v>
      </c>
      <c r="R10" s="72" t="str">
        <f t="shared" si="1"/>
        <v>w</v>
      </c>
    </row>
    <row r="11" spans="2:18">
      <c r="B11" s="2" t="s">
        <v>319</v>
      </c>
      <c r="C11" s="2"/>
      <c r="D11" s="72" t="str">
        <f>IF(D7="",D8,D7)</f>
        <v>s</v>
      </c>
      <c r="E11" s="72" t="str">
        <f>IF(E7="",E8,E7)</f>
        <v>w</v>
      </c>
      <c r="F11" s="72" t="str">
        <f>IF(F7="",F8,F7)</f>
        <v>-</v>
      </c>
      <c r="G11" s="72" t="str">
        <f>IF(G7="",G8,G7)</f>
        <v>-</v>
      </c>
      <c r="H11" s="154"/>
      <c r="I11" s="154"/>
      <c r="J11" s="154"/>
      <c r="K11" s="225"/>
      <c r="L11" s="154"/>
      <c r="M11" s="72" t="str">
        <f>M10</f>
        <v>+</v>
      </c>
      <c r="N11" s="72" t="str">
        <f>N10</f>
        <v>s</v>
      </c>
      <c r="O11" s="72" t="str">
        <f>O10</f>
        <v>-</v>
      </c>
      <c r="P11" s="154"/>
      <c r="Q11" s="154"/>
      <c r="R11" s="154"/>
    </row>
    <row r="12" spans="2:18">
      <c r="B12" s="2" t="s">
        <v>320</v>
      </c>
      <c r="C12" s="2"/>
      <c r="D12" s="154"/>
      <c r="E12" s="154"/>
      <c r="F12" s="154"/>
      <c r="G12" s="154"/>
      <c r="H12" s="72" t="str">
        <f>IF(H7="",H8,H7)</f>
        <v>w</v>
      </c>
      <c r="I12" s="72" t="str">
        <f>IF(I7="",I8,I7)</f>
        <v>s</v>
      </c>
      <c r="J12" s="154"/>
      <c r="K12" s="72" t="str">
        <f>IF(K7="",K8,K7)</f>
        <v>s</v>
      </c>
      <c r="L12" s="154"/>
      <c r="M12" s="154"/>
      <c r="N12" s="154"/>
      <c r="O12" s="154"/>
      <c r="P12" s="72" t="str">
        <f>P10</f>
        <v>-</v>
      </c>
      <c r="Q12" s="72" t="str">
        <f>Q10</f>
        <v>w</v>
      </c>
      <c r="R12" s="72" t="str">
        <f>R10</f>
        <v>w</v>
      </c>
    </row>
    <row r="13" spans="2:18">
      <c r="B13" s="2" t="s">
        <v>321</v>
      </c>
      <c r="C13" s="2"/>
      <c r="D13" s="72" t="str">
        <f>D11</f>
        <v>s</v>
      </c>
      <c r="E13" s="154"/>
      <c r="F13" s="154"/>
      <c r="G13" s="154"/>
      <c r="H13" s="154"/>
      <c r="I13" s="72" t="str">
        <f>I12</f>
        <v>s</v>
      </c>
      <c r="J13" s="154"/>
      <c r="K13" s="225"/>
      <c r="L13" s="72" t="str">
        <f>L10</f>
        <v>w</v>
      </c>
      <c r="M13" s="154"/>
      <c r="N13" s="154"/>
      <c r="O13" s="154"/>
      <c r="P13" s="72" t="str">
        <f>P12</f>
        <v>-</v>
      </c>
      <c r="Q13" s="154"/>
      <c r="R13" s="72" t="str">
        <f>R12</f>
        <v>w</v>
      </c>
    </row>
    <row r="14" spans="2:18">
      <c r="B14" s="2" t="s">
        <v>322</v>
      </c>
      <c r="C14" s="2"/>
      <c r="D14" s="154"/>
      <c r="E14" s="154"/>
      <c r="F14" s="154"/>
      <c r="G14" s="154"/>
      <c r="H14" s="154"/>
      <c r="I14" s="154"/>
      <c r="J14" s="154"/>
      <c r="K14" s="225"/>
      <c r="L14" s="154"/>
      <c r="M14" s="72" t="str">
        <f>M11</f>
        <v>+</v>
      </c>
      <c r="N14" s="72" t="str">
        <f>N11</f>
        <v>s</v>
      </c>
      <c r="O14" s="72" t="str">
        <f>O11</f>
        <v>-</v>
      </c>
      <c r="P14" s="72" t="str">
        <f>P13</f>
        <v>-</v>
      </c>
      <c r="Q14" s="72" t="str">
        <f>Q12</f>
        <v>w</v>
      </c>
      <c r="R14" s="72" t="str">
        <f>R12</f>
        <v>w</v>
      </c>
    </row>
    <row r="15" spans="2:18">
      <c r="B15" s="2" t="s">
        <v>323</v>
      </c>
      <c r="C15" s="2"/>
      <c r="D15" s="154"/>
      <c r="E15" s="154"/>
      <c r="F15" s="154"/>
      <c r="G15" s="72" t="str">
        <f>G11</f>
        <v>-</v>
      </c>
      <c r="H15" s="154"/>
      <c r="I15" s="154"/>
      <c r="J15" s="154"/>
      <c r="K15" s="225"/>
      <c r="L15" s="154"/>
      <c r="M15" s="154"/>
      <c r="N15" s="72" t="str">
        <f>N14</f>
        <v>s</v>
      </c>
      <c r="O15" s="154"/>
      <c r="P15" s="154"/>
      <c r="Q15" s="154"/>
      <c r="R15" s="154"/>
    </row>
    <row r="16" spans="2:18">
      <c r="B16" s="2" t="s">
        <v>324</v>
      </c>
      <c r="C16" s="2"/>
      <c r="D16" s="72" t="str">
        <f>D13</f>
        <v>s</v>
      </c>
      <c r="E16" s="72" t="str">
        <f>IF(E7="",E8,E7)</f>
        <v>w</v>
      </c>
      <c r="F16" s="154"/>
      <c r="G16" s="154"/>
      <c r="H16" s="154"/>
      <c r="I16" s="154"/>
      <c r="J16" s="154"/>
      <c r="K16" s="225"/>
      <c r="L16" s="154"/>
      <c r="M16" s="72" t="str">
        <f>M14</f>
        <v>+</v>
      </c>
      <c r="N16" s="154"/>
      <c r="O16" s="72" t="str">
        <f>O14</f>
        <v>-</v>
      </c>
      <c r="P16" s="154"/>
      <c r="Q16" s="154"/>
      <c r="R16" s="154"/>
    </row>
    <row r="17" spans="2:18">
      <c r="B17" s="2" t="s">
        <v>325</v>
      </c>
      <c r="C17" s="2"/>
      <c r="D17" s="154"/>
      <c r="E17" s="154"/>
      <c r="F17" s="154"/>
      <c r="G17" s="154"/>
      <c r="H17" s="72" t="str">
        <f>H12</f>
        <v>w</v>
      </c>
      <c r="I17" s="154"/>
      <c r="J17" s="154"/>
      <c r="K17" s="225"/>
      <c r="L17" s="72" t="str">
        <f>L13</f>
        <v>w</v>
      </c>
      <c r="M17" s="154"/>
      <c r="N17" s="154"/>
      <c r="O17" s="154"/>
      <c r="P17" s="72" t="str">
        <f>P14</f>
        <v>-</v>
      </c>
      <c r="Q17" s="72" t="str">
        <f>Q14</f>
        <v>w</v>
      </c>
      <c r="R17" s="72" t="str">
        <f>R14</f>
        <v>w</v>
      </c>
    </row>
    <row r="18" spans="2:18">
      <c r="B18" s="2" t="s">
        <v>326</v>
      </c>
      <c r="C18" s="2"/>
      <c r="D18" s="154"/>
      <c r="E18" s="154"/>
      <c r="F18" s="154"/>
      <c r="G18" s="154"/>
      <c r="H18" s="72" t="str">
        <f>H17</f>
        <v>w</v>
      </c>
      <c r="I18" s="72" t="str">
        <f>I13</f>
        <v>s</v>
      </c>
      <c r="J18" s="72" t="str">
        <f>IF(J7="",J8,J7)</f>
        <v>w</v>
      </c>
      <c r="K18" s="225"/>
      <c r="L18" s="154"/>
      <c r="M18" s="154"/>
      <c r="N18" s="154"/>
      <c r="O18" s="154"/>
      <c r="P18" s="72" t="str">
        <f>P17</f>
        <v>-</v>
      </c>
      <c r="Q18" s="72" t="str">
        <f>Q17</f>
        <v>w</v>
      </c>
      <c r="R18" s="72" t="str">
        <f>R17</f>
        <v>w</v>
      </c>
    </row>
    <row r="19" spans="2:18">
      <c r="B19" s="2" t="s">
        <v>327</v>
      </c>
      <c r="C19" s="2"/>
      <c r="D19" s="154"/>
      <c r="E19" s="154"/>
      <c r="F19" s="154"/>
      <c r="G19" s="154"/>
      <c r="H19" s="154"/>
      <c r="I19" s="154"/>
      <c r="J19" s="154"/>
      <c r="K19" s="226" t="str">
        <f>K12</f>
        <v>s</v>
      </c>
      <c r="L19" s="72" t="str">
        <f>L17</f>
        <v>w</v>
      </c>
      <c r="M19" s="154"/>
      <c r="N19" s="154"/>
      <c r="O19" s="154"/>
      <c r="P19" s="154"/>
      <c r="Q19" s="154"/>
      <c r="R19" s="154"/>
    </row>
    <row r="20" spans="2:18">
      <c r="B20" s="355" t="s">
        <v>328</v>
      </c>
      <c r="C20" s="355"/>
      <c r="D20" s="355"/>
      <c r="E20" s="355"/>
      <c r="F20" s="355"/>
      <c r="G20" s="355"/>
      <c r="H20" s="355"/>
      <c r="I20" s="355"/>
      <c r="J20" s="355"/>
      <c r="K20" s="355"/>
      <c r="L20" s="355"/>
      <c r="M20" s="355"/>
      <c r="N20" s="355"/>
      <c r="O20" s="355"/>
      <c r="P20" s="355"/>
      <c r="Q20" s="355"/>
      <c r="R20" s="355"/>
    </row>
    <row r="21" spans="2:18">
      <c r="B21" s="2" t="s">
        <v>329</v>
      </c>
      <c r="C21" s="2"/>
      <c r="D21" s="72" t="str">
        <f>D16</f>
        <v>s</v>
      </c>
      <c r="E21" s="72" t="str">
        <f>E16</f>
        <v>w</v>
      </c>
      <c r="F21" s="72" t="str">
        <f>F11</f>
        <v>-</v>
      </c>
      <c r="G21" s="72" t="str">
        <f>G15</f>
        <v>-</v>
      </c>
      <c r="H21" s="154"/>
      <c r="I21" s="154"/>
      <c r="J21" s="154"/>
      <c r="K21" s="225"/>
      <c r="L21" s="154"/>
      <c r="M21" s="154"/>
      <c r="N21" s="72" t="str">
        <f>N15</f>
        <v>s</v>
      </c>
      <c r="O21" s="154"/>
      <c r="P21" s="154"/>
      <c r="Q21" s="154"/>
      <c r="R21" s="154"/>
    </row>
    <row r="22" spans="2:18">
      <c r="B22" s="2" t="s">
        <v>330</v>
      </c>
      <c r="C22" s="2"/>
      <c r="D22" s="154"/>
      <c r="E22" s="72" t="str">
        <f>E21</f>
        <v>w</v>
      </c>
      <c r="F22" s="72" t="str">
        <f>F21</f>
        <v>-</v>
      </c>
      <c r="G22" s="154"/>
      <c r="H22" s="154"/>
      <c r="I22" s="154"/>
      <c r="J22" s="154"/>
      <c r="K22" s="225"/>
      <c r="L22" s="154"/>
      <c r="M22" s="154"/>
      <c r="N22" s="72" t="str">
        <f>N21</f>
        <v>s</v>
      </c>
      <c r="O22" s="154"/>
      <c r="P22" s="154"/>
      <c r="Q22" s="154"/>
      <c r="R22" s="154"/>
    </row>
    <row r="23" spans="2:18">
      <c r="B23" s="2" t="s">
        <v>331</v>
      </c>
      <c r="C23" s="2"/>
      <c r="D23" s="72" t="str">
        <f>D21</f>
        <v>s</v>
      </c>
      <c r="E23" s="72" t="str">
        <f>E22</f>
        <v>w</v>
      </c>
      <c r="F23" s="154"/>
      <c r="G23" s="154"/>
      <c r="H23" s="72" t="str">
        <f>H18</f>
        <v>w</v>
      </c>
      <c r="I23" s="154"/>
      <c r="J23" s="154"/>
      <c r="K23" s="225"/>
      <c r="L23" s="154"/>
      <c r="M23" s="154"/>
      <c r="N23" s="154"/>
      <c r="O23" s="154"/>
      <c r="P23" s="154"/>
      <c r="Q23" s="154"/>
      <c r="R23" s="154"/>
    </row>
    <row r="24" spans="2:18">
      <c r="B24" s="2" t="s">
        <v>332</v>
      </c>
      <c r="C24" s="2"/>
      <c r="D24" s="72" t="str">
        <f>D23</f>
        <v>s</v>
      </c>
      <c r="E24" s="72" t="str">
        <f>E23</f>
        <v>w</v>
      </c>
      <c r="F24" s="72" t="str">
        <f>F22</f>
        <v>-</v>
      </c>
      <c r="G24" s="72" t="str">
        <f>G21</f>
        <v>-</v>
      </c>
      <c r="H24" s="154"/>
      <c r="I24" s="154"/>
      <c r="J24" s="154"/>
      <c r="K24" s="225"/>
      <c r="L24" s="154"/>
      <c r="M24" s="154"/>
      <c r="N24" s="154"/>
      <c r="O24" s="154"/>
      <c r="P24" s="154"/>
      <c r="Q24" s="154"/>
      <c r="R24" s="154"/>
    </row>
    <row r="25" spans="2:18">
      <c r="B25" s="2" t="s">
        <v>333</v>
      </c>
      <c r="C25" s="2"/>
      <c r="D25" s="154"/>
      <c r="E25" s="154"/>
      <c r="F25" s="72" t="str">
        <f>F24</f>
        <v>-</v>
      </c>
      <c r="G25" s="72" t="str">
        <f>G24</f>
        <v>-</v>
      </c>
      <c r="H25" s="154"/>
      <c r="I25" s="154"/>
      <c r="J25" s="154"/>
      <c r="K25" s="225"/>
      <c r="L25" s="154"/>
      <c r="M25" s="154"/>
      <c r="N25" s="154"/>
      <c r="O25" s="154"/>
      <c r="P25" s="154"/>
      <c r="Q25" s="154"/>
      <c r="R25" s="154"/>
    </row>
    <row r="26" spans="2:18">
      <c r="B26" s="2" t="s">
        <v>334</v>
      </c>
      <c r="C26" s="2"/>
      <c r="D26" s="154"/>
      <c r="E26" s="154"/>
      <c r="F26" s="154"/>
      <c r="G26" s="154"/>
      <c r="H26" s="154"/>
      <c r="I26" s="154"/>
      <c r="J26" s="154"/>
      <c r="K26" s="226" t="str">
        <f>K19</f>
        <v>s</v>
      </c>
      <c r="L26" s="154"/>
      <c r="M26" s="72" t="str">
        <f>M16</f>
        <v>+</v>
      </c>
      <c r="N26" s="72" t="str">
        <f>N22</f>
        <v>s</v>
      </c>
      <c r="O26" s="72" t="str">
        <f>O16</f>
        <v>-</v>
      </c>
      <c r="P26" s="154"/>
      <c r="Q26" s="72" t="str">
        <f>Q18</f>
        <v>w</v>
      </c>
      <c r="R26" s="154"/>
    </row>
    <row r="27" spans="2:18">
      <c r="B27" s="2" t="s">
        <v>335</v>
      </c>
      <c r="C27" s="2"/>
      <c r="D27" s="72" t="str">
        <f>D24</f>
        <v>s</v>
      </c>
      <c r="E27" s="154"/>
      <c r="F27" s="154"/>
      <c r="G27" s="154"/>
      <c r="H27" s="154"/>
      <c r="I27" s="72" t="str">
        <f>I18</f>
        <v>s</v>
      </c>
      <c r="J27" s="154"/>
      <c r="K27" s="226" t="str">
        <f>K26</f>
        <v>s</v>
      </c>
      <c r="L27" s="154"/>
      <c r="M27" s="154"/>
      <c r="N27" s="72" t="str">
        <f>N26</f>
        <v>s</v>
      </c>
      <c r="O27" s="154"/>
      <c r="P27" s="154"/>
      <c r="Q27" s="154"/>
      <c r="R27" s="154"/>
    </row>
    <row r="28" spans="2:18">
      <c r="B28" s="2" t="s">
        <v>336</v>
      </c>
      <c r="C28" s="2"/>
      <c r="D28" s="154"/>
      <c r="E28" s="72" t="str">
        <f>E24</f>
        <v>w</v>
      </c>
      <c r="F28" s="72" t="str">
        <f>F25</f>
        <v>-</v>
      </c>
      <c r="G28" s="154"/>
      <c r="H28" s="154"/>
      <c r="I28" s="154"/>
      <c r="J28" s="154"/>
      <c r="K28" s="225"/>
      <c r="L28" s="154"/>
      <c r="M28" s="154"/>
      <c r="N28" s="154"/>
      <c r="O28" s="154"/>
      <c r="P28" s="154"/>
      <c r="Q28" s="154"/>
      <c r="R28" s="154"/>
    </row>
    <row r="29" spans="2:18">
      <c r="B29" s="2" t="s">
        <v>337</v>
      </c>
      <c r="C29" s="2"/>
      <c r="D29" s="154"/>
      <c r="E29" s="154"/>
      <c r="F29" s="72" t="str">
        <f>F28</f>
        <v>-</v>
      </c>
      <c r="G29" s="154"/>
      <c r="H29" s="154"/>
      <c r="I29" s="154"/>
      <c r="J29" s="154"/>
      <c r="K29" s="225"/>
      <c r="L29" s="154"/>
      <c r="M29" s="72" t="str">
        <f>M16</f>
        <v>+</v>
      </c>
      <c r="N29" s="72" t="str">
        <f>N27</f>
        <v>s</v>
      </c>
      <c r="O29" s="72" t="str">
        <f>O26</f>
        <v>-</v>
      </c>
      <c r="P29" s="154"/>
      <c r="Q29" s="154"/>
      <c r="R29" s="154"/>
    </row>
    <row r="30" spans="2:18">
      <c r="B30" s="2" t="s">
        <v>338</v>
      </c>
      <c r="C30" s="2"/>
      <c r="D30" s="154"/>
      <c r="E30" s="154"/>
      <c r="F30" s="154"/>
      <c r="G30" s="154"/>
      <c r="H30" s="154"/>
      <c r="I30" s="72" t="str">
        <f>I27</f>
        <v>s</v>
      </c>
      <c r="J30" s="154"/>
      <c r="K30" s="226" t="str">
        <f>K27</f>
        <v>s</v>
      </c>
      <c r="L30" s="154"/>
      <c r="M30" s="154"/>
      <c r="N30" s="154"/>
      <c r="O30" s="154"/>
      <c r="P30" s="154"/>
      <c r="Q30" s="154"/>
      <c r="R30" s="154"/>
    </row>
    <row r="31" spans="2:18">
      <c r="B31" s="2" t="s">
        <v>339</v>
      </c>
      <c r="C31" s="2"/>
      <c r="D31" s="154"/>
      <c r="E31" s="154"/>
      <c r="F31" s="154"/>
      <c r="G31" s="154"/>
      <c r="H31" s="154"/>
      <c r="I31" s="154"/>
      <c r="J31" s="154"/>
      <c r="K31" s="225"/>
      <c r="L31" s="154"/>
      <c r="M31" s="154"/>
      <c r="N31" s="154"/>
      <c r="O31" s="154"/>
      <c r="P31" s="72" t="str">
        <f>P18</f>
        <v>-</v>
      </c>
      <c r="Q31" s="154"/>
      <c r="R31" s="72" t="str">
        <f>R18</f>
        <v>w</v>
      </c>
    </row>
    <row r="32" spans="2:18">
      <c r="B32" s="2" t="s">
        <v>340</v>
      </c>
      <c r="C32" s="2"/>
      <c r="D32" s="154"/>
      <c r="E32" s="154"/>
      <c r="F32" s="154"/>
      <c r="G32" s="154"/>
      <c r="H32" s="154"/>
      <c r="I32" s="154"/>
      <c r="J32" s="154"/>
      <c r="K32" s="225"/>
      <c r="L32" s="154"/>
      <c r="M32" s="72" t="str">
        <f>M29</f>
        <v>+</v>
      </c>
      <c r="N32" s="72" t="str">
        <f>N29</f>
        <v>s</v>
      </c>
      <c r="O32" s="72" t="str">
        <f>O29</f>
        <v>-</v>
      </c>
      <c r="P32" s="154"/>
      <c r="Q32" s="72" t="str">
        <f>Q26</f>
        <v>w</v>
      </c>
      <c r="R32" s="154"/>
    </row>
    <row r="33" spans="2:18">
      <c r="B33" s="2" t="s">
        <v>341</v>
      </c>
      <c r="C33" s="2"/>
      <c r="D33" s="72" t="str">
        <f>D27</f>
        <v>s</v>
      </c>
      <c r="E33" s="154"/>
      <c r="F33" s="154"/>
      <c r="G33" s="72" t="str">
        <f>G25</f>
        <v>-</v>
      </c>
      <c r="H33" s="154"/>
      <c r="I33" s="154"/>
      <c r="J33" s="154"/>
      <c r="K33" s="225"/>
      <c r="L33" s="154"/>
      <c r="M33" s="154"/>
      <c r="N33" s="154"/>
      <c r="O33" s="154"/>
      <c r="P33" s="154"/>
      <c r="Q33" s="154"/>
      <c r="R33" s="154"/>
    </row>
    <row r="34" spans="2:18">
      <c r="B34" s="2" t="s">
        <v>342</v>
      </c>
      <c r="C34" s="2"/>
      <c r="D34" s="154"/>
      <c r="E34" s="154"/>
      <c r="F34" s="154"/>
      <c r="G34" s="154"/>
      <c r="H34" s="154"/>
      <c r="I34" s="154"/>
      <c r="J34" s="154"/>
      <c r="K34" s="225"/>
      <c r="L34" s="72" t="str">
        <f>L19</f>
        <v>w</v>
      </c>
      <c r="M34" s="154"/>
      <c r="N34" s="154"/>
      <c r="O34" s="154"/>
      <c r="P34" s="154"/>
      <c r="Q34" s="72" t="str">
        <f>Q32</f>
        <v>w</v>
      </c>
      <c r="R34" s="154"/>
    </row>
    <row r="35" spans="2:18">
      <c r="B35" s="2" t="s">
        <v>343</v>
      </c>
      <c r="C35" s="2"/>
      <c r="D35" s="154"/>
      <c r="E35" s="154"/>
      <c r="F35" s="154"/>
      <c r="G35" s="154"/>
      <c r="H35" s="72" t="str">
        <f>H23</f>
        <v>w</v>
      </c>
      <c r="I35" s="72" t="str">
        <f>I30</f>
        <v>s</v>
      </c>
      <c r="J35" s="72" t="str">
        <f>J18</f>
        <v>w</v>
      </c>
      <c r="K35" s="226" t="str">
        <f>K30</f>
        <v>s</v>
      </c>
      <c r="L35" s="72" t="str">
        <f>L34</f>
        <v>w</v>
      </c>
      <c r="M35" s="154"/>
      <c r="N35" s="154"/>
      <c r="O35" s="154"/>
      <c r="P35" s="154"/>
      <c r="Q35" s="154"/>
      <c r="R35" s="72" t="str">
        <f>R31</f>
        <v>w</v>
      </c>
    </row>
    <row r="36" spans="2:18">
      <c r="B36" s="2" t="s">
        <v>344</v>
      </c>
      <c r="C36" s="2"/>
      <c r="D36" s="154"/>
      <c r="E36" s="154"/>
      <c r="F36" s="154"/>
      <c r="G36" s="154"/>
      <c r="H36" s="154"/>
      <c r="I36" s="154"/>
      <c r="J36" s="154"/>
      <c r="K36" s="225"/>
      <c r="L36" s="154"/>
      <c r="M36" s="154"/>
      <c r="N36" s="154"/>
      <c r="O36" s="154"/>
      <c r="P36" s="154"/>
      <c r="Q36" s="72" t="str">
        <f>Q34</f>
        <v>w</v>
      </c>
      <c r="R36" s="72" t="str">
        <f>R35</f>
        <v>w</v>
      </c>
    </row>
    <row r="37" spans="2:18">
      <c r="B37" s="355" t="s">
        <v>345</v>
      </c>
      <c r="C37" s="355"/>
      <c r="D37" s="355"/>
      <c r="E37" s="355"/>
      <c r="F37" s="355"/>
      <c r="G37" s="355"/>
      <c r="H37" s="355"/>
      <c r="I37" s="355"/>
      <c r="J37" s="355"/>
      <c r="K37" s="355"/>
      <c r="L37" s="355"/>
      <c r="M37" s="355"/>
      <c r="N37" s="355"/>
      <c r="O37" s="355"/>
      <c r="P37" s="355"/>
      <c r="Q37" s="355"/>
      <c r="R37" s="355"/>
    </row>
    <row r="38" spans="2:18">
      <c r="B38" s="2" t="s">
        <v>346</v>
      </c>
      <c r="C38" s="2"/>
      <c r="D38" s="154"/>
      <c r="E38" s="72" t="str">
        <f>E28</f>
        <v>w</v>
      </c>
      <c r="F38" s="154"/>
      <c r="G38" s="72" t="str">
        <f>G33</f>
        <v>-</v>
      </c>
      <c r="H38" s="154"/>
      <c r="I38" s="154"/>
      <c r="J38" s="154"/>
      <c r="K38" s="225"/>
      <c r="L38" s="154"/>
      <c r="M38" s="154"/>
      <c r="N38" s="154"/>
      <c r="O38" s="154"/>
      <c r="P38" s="154"/>
      <c r="Q38" s="154"/>
      <c r="R38" s="154"/>
    </row>
    <row r="39" spans="2:18">
      <c r="B39" s="2" t="s">
        <v>347</v>
      </c>
      <c r="C39" s="2"/>
      <c r="D39" s="154"/>
      <c r="E39" s="154"/>
      <c r="F39" s="72" t="str">
        <f>F29</f>
        <v>-</v>
      </c>
      <c r="G39" s="154"/>
      <c r="H39" s="154"/>
      <c r="I39" s="154"/>
      <c r="J39" s="154"/>
      <c r="K39" s="225"/>
      <c r="L39" s="154"/>
      <c r="M39" s="72" t="str">
        <f>M32</f>
        <v>+</v>
      </c>
      <c r="N39" s="72" t="str">
        <f>N32</f>
        <v>s</v>
      </c>
      <c r="O39" s="72" t="str">
        <f>O32</f>
        <v>-</v>
      </c>
      <c r="P39" s="154"/>
      <c r="Q39" s="154"/>
      <c r="R39" s="154"/>
    </row>
    <row r="40" spans="2:18">
      <c r="B40" s="2" t="s">
        <v>348</v>
      </c>
      <c r="C40" s="2"/>
      <c r="D40" s="154"/>
      <c r="E40" s="154"/>
      <c r="F40" s="154"/>
      <c r="G40" s="154"/>
      <c r="H40" s="154"/>
      <c r="I40" s="72" t="str">
        <f>I35</f>
        <v>s</v>
      </c>
      <c r="J40" s="72" t="str">
        <f>J35</f>
        <v>w</v>
      </c>
      <c r="K40" s="225"/>
      <c r="L40" s="72" t="str">
        <f>L35</f>
        <v>w</v>
      </c>
      <c r="M40" s="154"/>
      <c r="N40" s="154"/>
      <c r="O40" s="154"/>
      <c r="P40" s="154"/>
      <c r="Q40" s="154"/>
      <c r="R40" s="154"/>
    </row>
    <row r="41" spans="2:18">
      <c r="B41" s="2" t="s">
        <v>349</v>
      </c>
      <c r="C41" s="2"/>
      <c r="D41" s="154"/>
      <c r="E41" s="154"/>
      <c r="F41" s="154"/>
      <c r="G41" s="154"/>
      <c r="H41" s="72" t="str">
        <f>H35</f>
        <v>w</v>
      </c>
      <c r="I41" s="154"/>
      <c r="J41" s="154"/>
      <c r="K41" s="225"/>
      <c r="L41" s="154"/>
      <c r="M41" s="154"/>
      <c r="N41" s="154"/>
      <c r="O41" s="154"/>
      <c r="P41" s="72" t="str">
        <f>P31</f>
        <v>-</v>
      </c>
      <c r="Q41" s="72" t="str">
        <f>Q36</f>
        <v>w</v>
      </c>
      <c r="R41" s="72" t="str">
        <f>R36</f>
        <v>w</v>
      </c>
    </row>
    <row r="42" spans="2:18">
      <c r="B42" s="2"/>
      <c r="C42" s="2"/>
      <c r="D42" s="2"/>
      <c r="E42" s="2"/>
      <c r="F42" s="2"/>
      <c r="G42" s="2"/>
      <c r="H42" s="2"/>
      <c r="I42" s="2"/>
      <c r="J42" s="2"/>
      <c r="L42" s="2"/>
      <c r="M42" s="2"/>
      <c r="N42" s="2"/>
      <c r="O42" s="2"/>
      <c r="P42" s="2"/>
      <c r="Q42" s="2"/>
      <c r="R42" s="2"/>
    </row>
  </sheetData>
  <sheetProtection password="8D61" sheet="1" objects="1" scenarios="1" selectLockedCells="1"/>
  <mergeCells count="7">
    <mergeCell ref="B37:R37"/>
    <mergeCell ref="D4:G4"/>
    <mergeCell ref="H4:L4"/>
    <mergeCell ref="M4:O4"/>
    <mergeCell ref="P4:R4"/>
    <mergeCell ref="B9:R9"/>
    <mergeCell ref="B20:R20"/>
  </mergeCells>
  <phoneticPr fontId="3" type="noConversion"/>
  <printOptions horizontalCentered="1" verticalCentered="1"/>
  <pageMargins left="0" right="0" top="0.8" bottom="1" header="0.47" footer="0.56000000000000005"/>
  <pageSetup orientation="portrait" r:id="rId1"/>
  <headerFooter alignWithMargins="0">
    <oddHeader>&amp;C&amp;"Geneva,Bold"&amp;14DUMONT/WILLIS WAIS-IV Computer Template</oddHeader>
    <oddFooter>&amp;L&amp;8WAIS-IV © The Psychological Corporation All rights reserved &amp;R&amp;8Page &amp;P  WAIS-IV Template © Dumont - Willis 2008</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L38"/>
  <sheetViews>
    <sheetView showGridLines="0" zoomScaleNormal="100" workbookViewId="0">
      <selection activeCell="E6" sqref="E6"/>
    </sheetView>
  </sheetViews>
  <sheetFormatPr defaultRowHeight="12"/>
  <cols>
    <col min="1" max="1" width="2.140625" style="37" customWidth="1"/>
    <col min="2" max="2" width="9.140625" style="37"/>
    <col min="3" max="3" width="26.7109375" style="37" customWidth="1"/>
    <col min="4" max="4" width="9.140625" style="37"/>
    <col min="5" max="5" width="38.7109375" style="218" bestFit="1" customWidth="1"/>
    <col min="6" max="16384" width="9.140625" style="37"/>
  </cols>
  <sheetData>
    <row r="2" spans="2:10" ht="18.75">
      <c r="B2" s="358" t="s">
        <v>350</v>
      </c>
      <c r="C2" s="358"/>
      <c r="D2" s="358"/>
      <c r="E2" s="358"/>
    </row>
    <row r="3" spans="2:10" ht="5.25" customHeight="1"/>
    <row r="4" spans="2:10" ht="28.5" customHeight="1">
      <c r="B4" s="357" t="s">
        <v>351</v>
      </c>
      <c r="C4" s="357"/>
      <c r="D4" s="357"/>
      <c r="E4" s="357"/>
      <c r="F4" s="227"/>
      <c r="G4" s="228"/>
      <c r="H4" s="227"/>
      <c r="I4" s="227"/>
      <c r="J4" s="227"/>
    </row>
    <row r="5" spans="2:10" ht="18" customHeight="1">
      <c r="B5" s="229"/>
      <c r="C5" s="230" t="s">
        <v>352</v>
      </c>
      <c r="D5" s="230" t="s">
        <v>353</v>
      </c>
      <c r="E5" s="229" t="s">
        <v>354</v>
      </c>
      <c r="F5" s="227"/>
      <c r="G5" s="228"/>
      <c r="H5" s="227"/>
      <c r="I5" s="227"/>
      <c r="J5" s="227"/>
    </row>
    <row r="6" spans="2:10" ht="19.5" customHeight="1">
      <c r="C6" s="231" t="s">
        <v>153</v>
      </c>
      <c r="D6" s="232">
        <f>IF(sim="","",sim)</f>
        <v>16</v>
      </c>
      <c r="E6" s="233" t="s">
        <v>355</v>
      </c>
      <c r="F6" s="227"/>
      <c r="G6" s="227"/>
      <c r="H6" s="227"/>
      <c r="I6" s="227"/>
      <c r="J6" s="227"/>
    </row>
    <row r="7" spans="2:10" ht="15">
      <c r="B7" s="234"/>
      <c r="C7" s="231" t="s">
        <v>156</v>
      </c>
      <c r="D7" s="232">
        <f>IF(IN="","",IN)</f>
        <v>12</v>
      </c>
      <c r="E7" s="233" t="s">
        <v>356</v>
      </c>
      <c r="F7" s="227"/>
      <c r="G7" s="227"/>
      <c r="H7" s="227"/>
      <c r="I7" s="227"/>
      <c r="J7" s="227"/>
    </row>
    <row r="8" spans="2:10" ht="15">
      <c r="B8" s="234"/>
      <c r="C8" s="231" t="s">
        <v>155</v>
      </c>
      <c r="D8" s="232">
        <f>IF(VOC="","",VOC)</f>
        <v>11</v>
      </c>
      <c r="E8" s="233" t="s">
        <v>357</v>
      </c>
    </row>
    <row r="9" spans="2:10" ht="13.5" customHeight="1">
      <c r="B9" s="234"/>
      <c r="C9" s="231" t="s">
        <v>158</v>
      </c>
      <c r="D9" s="232">
        <f>IF(COMP="","",COMP)</f>
        <v>12</v>
      </c>
      <c r="E9" s="233" t="s">
        <v>355</v>
      </c>
    </row>
    <row r="10" spans="2:10" ht="13.5" customHeight="1">
      <c r="B10" s="235"/>
      <c r="C10" s="236"/>
      <c r="D10" s="237"/>
      <c r="E10" s="238"/>
    </row>
    <row r="11" spans="2:10" ht="37.5" customHeight="1">
      <c r="B11" s="357" t="s">
        <v>358</v>
      </c>
      <c r="C11" s="357"/>
      <c r="D11" s="357"/>
      <c r="E11" s="357"/>
      <c r="F11" s="227"/>
      <c r="G11" s="227"/>
    </row>
    <row r="12" spans="2:10" ht="20.25" customHeight="1">
      <c r="B12" s="229"/>
      <c r="C12" s="230" t="s">
        <v>352</v>
      </c>
      <c r="D12" s="230" t="s">
        <v>353</v>
      </c>
      <c r="E12" s="229" t="s">
        <v>354</v>
      </c>
      <c r="F12" s="227"/>
      <c r="G12" s="227"/>
    </row>
    <row r="13" spans="2:10" ht="19.5" customHeight="1">
      <c r="C13" s="231" t="s">
        <v>154</v>
      </c>
      <c r="D13" s="232">
        <f>IF(bd="","",bd)</f>
        <v>10</v>
      </c>
      <c r="E13" s="233" t="s">
        <v>359</v>
      </c>
    </row>
    <row r="14" spans="2:10" ht="15">
      <c r="B14" s="234"/>
      <c r="C14" s="231" t="s">
        <v>163</v>
      </c>
      <c r="D14" s="232">
        <f>IF(VP="","",VP)</f>
        <v>9</v>
      </c>
      <c r="E14" s="233" t="s">
        <v>360</v>
      </c>
    </row>
    <row r="15" spans="2:10" ht="15">
      <c r="B15" s="234"/>
      <c r="C15" s="231" t="s">
        <v>165</v>
      </c>
      <c r="D15" s="232">
        <f>IF(PCm="","",PCm)</f>
        <v>10</v>
      </c>
      <c r="E15" s="233" t="s">
        <v>361</v>
      </c>
    </row>
    <row r="16" spans="2:10" ht="15">
      <c r="B16" s="235"/>
      <c r="C16" s="236"/>
      <c r="D16" s="237"/>
      <c r="E16" s="238"/>
    </row>
    <row r="17" spans="2:12" ht="34.5" customHeight="1">
      <c r="B17" s="357" t="s">
        <v>362</v>
      </c>
      <c r="C17" s="357"/>
      <c r="D17" s="357"/>
      <c r="E17" s="357"/>
      <c r="G17" s="228"/>
    </row>
    <row r="18" spans="2:12" ht="15" customHeight="1">
      <c r="B18" s="229"/>
      <c r="C18" s="230" t="s">
        <v>352</v>
      </c>
      <c r="D18" s="230" t="s">
        <v>353</v>
      </c>
      <c r="E18" s="229" t="s">
        <v>354</v>
      </c>
      <c r="G18" s="228"/>
    </row>
    <row r="19" spans="2:12" ht="18" customHeight="1">
      <c r="C19" s="231" t="s">
        <v>363</v>
      </c>
      <c r="D19" s="232">
        <f>IF(dsf="","",dsf)</f>
        <v>18</v>
      </c>
      <c r="E19" s="233" t="s">
        <v>364</v>
      </c>
    </row>
    <row r="20" spans="2:12" ht="15" customHeight="1">
      <c r="B20" s="228"/>
      <c r="C20" s="231" t="s">
        <v>66</v>
      </c>
      <c r="D20" s="232">
        <f>IF(dsb="","",dsb)</f>
        <v>17</v>
      </c>
      <c r="E20" s="233" t="s">
        <v>365</v>
      </c>
      <c r="H20" s="227"/>
      <c r="I20" s="227"/>
      <c r="J20" s="227"/>
      <c r="K20" s="227"/>
      <c r="L20" s="227"/>
    </row>
    <row r="21" spans="2:12" ht="15">
      <c r="B21" s="228"/>
      <c r="C21" s="231" t="s">
        <v>67</v>
      </c>
      <c r="D21" s="232">
        <f>IF(dssq="","",dssq)</f>
        <v>13</v>
      </c>
      <c r="E21" s="233" t="s">
        <v>365</v>
      </c>
      <c r="G21" s="227"/>
      <c r="H21" s="227"/>
      <c r="I21" s="227"/>
      <c r="J21" s="227"/>
      <c r="K21" s="227"/>
      <c r="L21" s="227"/>
    </row>
    <row r="22" spans="2:12" ht="15">
      <c r="B22" s="228"/>
      <c r="C22" s="231" t="s">
        <v>366</v>
      </c>
      <c r="D22" s="232">
        <f>IF(lns="","",lns)</f>
        <v>11</v>
      </c>
      <c r="E22" s="233" t="s">
        <v>365</v>
      </c>
    </row>
    <row r="23" spans="2:12">
      <c r="B23" s="239"/>
      <c r="C23" s="239"/>
      <c r="D23" s="239"/>
      <c r="E23" s="240"/>
    </row>
    <row r="24" spans="2:12" ht="35.25" customHeight="1">
      <c r="B24" s="357" t="s">
        <v>367</v>
      </c>
      <c r="C24" s="357"/>
      <c r="D24" s="357"/>
      <c r="E24" s="357"/>
      <c r="G24" s="228"/>
    </row>
    <row r="25" spans="2:12" ht="15" customHeight="1">
      <c r="B25" s="229"/>
      <c r="C25" s="230" t="s">
        <v>352</v>
      </c>
      <c r="D25" s="230" t="s">
        <v>353</v>
      </c>
      <c r="E25" s="229" t="s">
        <v>354</v>
      </c>
      <c r="G25" s="228"/>
    </row>
    <row r="26" spans="2:12" ht="18" customHeight="1">
      <c r="C26" s="231" t="s">
        <v>170</v>
      </c>
      <c r="D26" s="232">
        <f>IF(SS="","",SS)</f>
        <v>10</v>
      </c>
      <c r="E26" s="233" t="s">
        <v>368</v>
      </c>
    </row>
    <row r="27" spans="2:12" ht="15">
      <c r="B27" s="234"/>
      <c r="C27" s="231" t="s">
        <v>166</v>
      </c>
      <c r="D27" s="232">
        <f>IF(CD="","",CD)</f>
        <v>5</v>
      </c>
      <c r="E27" s="233" t="s">
        <v>369</v>
      </c>
    </row>
    <row r="28" spans="2:12" ht="15">
      <c r="B28" s="228"/>
      <c r="C28" s="231" t="s">
        <v>168</v>
      </c>
      <c r="D28" s="232">
        <f>IF(CA="","",CA)</f>
        <v>7</v>
      </c>
      <c r="E28" s="233" t="s">
        <v>368</v>
      </c>
    </row>
    <row r="29" spans="2:12">
      <c r="B29" s="239"/>
      <c r="C29" s="239"/>
      <c r="D29" s="239"/>
      <c r="E29" s="240"/>
    </row>
    <row r="30" spans="2:12" ht="31.5" customHeight="1">
      <c r="B30" s="357" t="s">
        <v>370</v>
      </c>
      <c r="C30" s="357"/>
      <c r="D30" s="357"/>
      <c r="E30" s="357"/>
      <c r="G30" s="227"/>
      <c r="H30" s="227"/>
      <c r="I30" s="227"/>
      <c r="J30" s="227"/>
      <c r="K30" s="227"/>
    </row>
    <row r="31" spans="2:12" ht="18.75" customHeight="1">
      <c r="B31" s="229"/>
      <c r="C31" s="230" t="s">
        <v>352</v>
      </c>
      <c r="D31" s="230" t="s">
        <v>353</v>
      </c>
      <c r="E31" s="229" t="s">
        <v>354</v>
      </c>
      <c r="G31" s="227"/>
      <c r="H31" s="227"/>
      <c r="I31" s="227"/>
      <c r="J31" s="227"/>
      <c r="K31" s="227"/>
    </row>
    <row r="32" spans="2:12" ht="21.75" customHeight="1">
      <c r="B32" s="227"/>
      <c r="C32" s="231" t="s">
        <v>159</v>
      </c>
      <c r="D32" s="232">
        <f>IF(MR="","",MR)</f>
        <v>16</v>
      </c>
      <c r="E32" s="233" t="s">
        <v>371</v>
      </c>
      <c r="F32" s="227"/>
      <c r="G32" s="227"/>
      <c r="H32" s="227"/>
      <c r="I32" s="227"/>
      <c r="J32" s="227"/>
      <c r="K32" s="227"/>
    </row>
    <row r="33" spans="2:9" ht="15">
      <c r="B33" s="234"/>
      <c r="C33" s="231" t="s">
        <v>164</v>
      </c>
      <c r="D33" s="232">
        <f>IF(FW="","",FW)</f>
        <v>16</v>
      </c>
      <c r="E33" s="233" t="s">
        <v>372</v>
      </c>
    </row>
    <row r="34" spans="2:9">
      <c r="B34" s="239"/>
      <c r="C34" s="239"/>
      <c r="D34" s="239"/>
      <c r="E34" s="240"/>
    </row>
    <row r="35" spans="2:9" ht="28.5" customHeight="1">
      <c r="B35" s="357" t="s">
        <v>373</v>
      </c>
      <c r="C35" s="357"/>
      <c r="D35" s="357"/>
      <c r="E35" s="357"/>
      <c r="F35" s="227"/>
      <c r="G35" s="227"/>
      <c r="H35" s="227"/>
      <c r="I35" s="227"/>
    </row>
    <row r="36" spans="2:9" ht="18.75" customHeight="1">
      <c r="B36" s="229"/>
      <c r="C36" s="230" t="s">
        <v>352</v>
      </c>
      <c r="D36" s="230" t="s">
        <v>353</v>
      </c>
      <c r="E36" s="229" t="s">
        <v>354</v>
      </c>
      <c r="F36" s="227"/>
      <c r="G36" s="227"/>
      <c r="H36" s="227"/>
      <c r="I36" s="227"/>
    </row>
    <row r="37" spans="2:9" ht="20.25" customHeight="1">
      <c r="C37" s="231" t="s">
        <v>160</v>
      </c>
      <c r="D37" s="232">
        <f>IF(AR="","",AR)</f>
        <v>16</v>
      </c>
      <c r="E37" s="233" t="s">
        <v>374</v>
      </c>
    </row>
    <row r="38" spans="2:9">
      <c r="B38" s="239"/>
      <c r="C38" s="239"/>
      <c r="D38" s="239"/>
      <c r="E38" s="240"/>
    </row>
  </sheetData>
  <sheetProtection password="8D61" sheet="1" objects="1" scenarios="1" selectLockedCells="1"/>
  <mergeCells count="7">
    <mergeCell ref="B30:E30"/>
    <mergeCell ref="B35:E35"/>
    <mergeCell ref="B2:E2"/>
    <mergeCell ref="B4:E4"/>
    <mergeCell ref="B11:E11"/>
    <mergeCell ref="B17:E17"/>
    <mergeCell ref="B24:E24"/>
  </mergeCells>
  <phoneticPr fontId="3" type="noConversion"/>
  <printOptions horizontalCentered="1" verticalCentered="1"/>
  <pageMargins left="0.7" right="0.7" top="0.75" bottom="0.75" header="0.3" footer="0.3"/>
  <pageSetup orientation="portrait" r:id="rId1"/>
  <headerFooter>
    <oddHeader>&amp;C&amp;16DUMONT/WILLIS WAIS-IV Computer Template</oddHeader>
    <oddFooter>&amp;LWAIS-IV © The Psychological Corporation All rights reserved &amp;RPage &amp;P  WAIS-IV Template © Dumont - Willis 2008</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V38"/>
  <sheetViews>
    <sheetView showGridLines="0" workbookViewId="0">
      <selection sqref="A1:T1"/>
    </sheetView>
  </sheetViews>
  <sheetFormatPr defaultRowHeight="15"/>
  <cols>
    <col min="1" max="1" width="9.140625" style="243"/>
    <col min="2" max="2" width="1" style="243" customWidth="1"/>
    <col min="3" max="6" width="7" style="243" customWidth="1"/>
    <col min="7" max="12" width="6.5703125" style="243" customWidth="1"/>
    <col min="13" max="18" width="7.5703125" style="243" customWidth="1"/>
    <col min="19" max="20" width="6.7109375" style="243" customWidth="1"/>
    <col min="21" max="16384" width="9.140625" style="243"/>
  </cols>
  <sheetData>
    <row r="1" spans="1:22" ht="16.5" customHeight="1">
      <c r="A1" s="368" t="s">
        <v>375</v>
      </c>
      <c r="B1" s="368"/>
      <c r="C1" s="368"/>
      <c r="D1" s="368"/>
      <c r="E1" s="368"/>
      <c r="F1" s="368"/>
      <c r="G1" s="368"/>
      <c r="H1" s="368"/>
      <c r="I1" s="368"/>
      <c r="J1" s="368"/>
      <c r="K1" s="368"/>
      <c r="L1" s="368"/>
      <c r="M1" s="368"/>
      <c r="N1" s="368"/>
      <c r="O1" s="368"/>
      <c r="P1" s="368"/>
      <c r="Q1" s="368"/>
      <c r="R1" s="368"/>
      <c r="S1" s="368"/>
      <c r="T1" s="368"/>
      <c r="U1" s="241"/>
      <c r="V1" s="242"/>
    </row>
    <row r="2" spans="1:22" ht="3.75" customHeight="1" thickBot="1">
      <c r="A2" s="365" t="s">
        <v>376</v>
      </c>
      <c r="B2" s="270"/>
      <c r="C2" s="270"/>
      <c r="D2" s="270"/>
      <c r="E2" s="270"/>
      <c r="F2" s="270"/>
      <c r="G2" s="270"/>
      <c r="H2" s="270"/>
      <c r="I2" s="271"/>
      <c r="J2" s="271"/>
      <c r="K2" s="271"/>
      <c r="L2" s="271"/>
      <c r="M2" s="270"/>
      <c r="N2" s="270"/>
      <c r="O2" s="270"/>
      <c r="P2" s="270"/>
      <c r="Q2" s="270"/>
      <c r="R2" s="270"/>
      <c r="S2" s="270"/>
      <c r="T2" s="270"/>
      <c r="U2" s="270"/>
      <c r="V2" s="242"/>
    </row>
    <row r="3" spans="1:22">
      <c r="A3" s="365"/>
      <c r="B3" s="270"/>
      <c r="C3" s="272"/>
      <c r="D3" s="273" t="s">
        <v>377</v>
      </c>
      <c r="E3" s="274" t="s">
        <v>378</v>
      </c>
      <c r="F3" s="274" t="s">
        <v>379</v>
      </c>
      <c r="G3" s="274" t="s">
        <v>380</v>
      </c>
      <c r="H3" s="274" t="s">
        <v>307</v>
      </c>
      <c r="I3" s="274" t="s">
        <v>308</v>
      </c>
      <c r="J3" s="274" t="s">
        <v>381</v>
      </c>
      <c r="K3" s="274" t="s">
        <v>382</v>
      </c>
      <c r="L3" s="274" t="s">
        <v>383</v>
      </c>
      <c r="M3" s="274" t="s">
        <v>384</v>
      </c>
      <c r="N3" s="274" t="s">
        <v>385</v>
      </c>
      <c r="O3" s="274" t="s">
        <v>386</v>
      </c>
      <c r="P3" s="274" t="s">
        <v>37</v>
      </c>
      <c r="Q3" s="274" t="s">
        <v>387</v>
      </c>
      <c r="R3" s="275" t="s">
        <v>388</v>
      </c>
      <c r="S3" s="244"/>
      <c r="T3" s="244"/>
      <c r="U3" s="276"/>
      <c r="V3" s="242"/>
    </row>
    <row r="4" spans="1:22" ht="15.75" thickBot="1">
      <c r="A4" s="365"/>
      <c r="B4" s="270"/>
      <c r="C4" s="272"/>
      <c r="D4" s="277">
        <f>IF(sim="","",sim)</f>
        <v>16</v>
      </c>
      <c r="E4" s="278">
        <f>IF(VOC="","",VOC)</f>
        <v>11</v>
      </c>
      <c r="F4" s="278">
        <f>IF(IN="","",IN)</f>
        <v>12</v>
      </c>
      <c r="G4" s="278">
        <f>IF(COMP="","",COMP)</f>
        <v>12</v>
      </c>
      <c r="H4" s="278">
        <f>IF(bd="","",bd)</f>
        <v>10</v>
      </c>
      <c r="I4" s="278">
        <f>IF(MR="","",MR)</f>
        <v>16</v>
      </c>
      <c r="J4" s="278">
        <f>IF(VP="","",VP)</f>
        <v>9</v>
      </c>
      <c r="K4" s="278">
        <f>IF(FW="","",FW)</f>
        <v>16</v>
      </c>
      <c r="L4" s="278">
        <f>IF(PCm="","",PCm)</f>
        <v>10</v>
      </c>
      <c r="M4" s="278">
        <f>IF(DS="","",DS)</f>
        <v>12</v>
      </c>
      <c r="N4" s="278">
        <f>IF(AR="","",AR)</f>
        <v>16</v>
      </c>
      <c r="O4" s="278">
        <f>IF(lns="","",lns)</f>
        <v>11</v>
      </c>
      <c r="P4" s="278">
        <f>IF(SS="","",SS)</f>
        <v>10</v>
      </c>
      <c r="Q4" s="278">
        <f>IF(CD="","",CD)</f>
        <v>5</v>
      </c>
      <c r="R4" s="279">
        <f>IF(CA="","",CA)</f>
        <v>7</v>
      </c>
      <c r="S4" s="244"/>
      <c r="T4" s="244"/>
      <c r="U4" s="276"/>
      <c r="V4" s="242"/>
    </row>
    <row r="5" spans="1:22" ht="15" customHeight="1" thickBot="1">
      <c r="A5" s="365"/>
      <c r="B5" s="270"/>
      <c r="C5" s="280"/>
      <c r="D5" s="359" t="s">
        <v>389</v>
      </c>
      <c r="E5" s="359"/>
      <c r="F5" s="359"/>
      <c r="G5" s="359"/>
      <c r="H5" s="359"/>
      <c r="I5" s="359"/>
      <c r="J5" s="359"/>
      <c r="K5" s="359"/>
      <c r="L5" s="359"/>
      <c r="M5" s="359"/>
      <c r="N5" s="359"/>
      <c r="O5" s="359"/>
      <c r="P5" s="359"/>
      <c r="Q5" s="359"/>
      <c r="R5" s="359"/>
      <c r="S5" s="280"/>
      <c r="T5" s="280"/>
      <c r="U5" s="276"/>
      <c r="V5" s="242"/>
    </row>
    <row r="6" spans="1:22" ht="3" customHeight="1" thickTop="1" thickBot="1">
      <c r="B6" s="270"/>
      <c r="C6" s="272"/>
      <c r="D6" s="272"/>
      <c r="E6" s="272"/>
      <c r="F6" s="272"/>
      <c r="G6" s="272"/>
      <c r="H6" s="272"/>
      <c r="I6" s="272"/>
      <c r="J6" s="272"/>
      <c r="K6" s="272"/>
      <c r="L6" s="272"/>
      <c r="M6" s="272"/>
      <c r="N6" s="272"/>
      <c r="O6" s="281"/>
      <c r="P6" s="272"/>
      <c r="Q6" s="272"/>
      <c r="R6" s="272"/>
      <c r="S6" s="272"/>
      <c r="T6" s="272"/>
      <c r="U6" s="276"/>
      <c r="V6" s="242"/>
    </row>
    <row r="7" spans="1:22" ht="15" customHeight="1">
      <c r="A7" s="365" t="s">
        <v>390</v>
      </c>
      <c r="B7" s="270"/>
      <c r="C7" s="273" t="s">
        <v>377</v>
      </c>
      <c r="D7" s="274" t="s">
        <v>378</v>
      </c>
      <c r="E7" s="274" t="s">
        <v>379</v>
      </c>
      <c r="F7" s="274" t="s">
        <v>380</v>
      </c>
      <c r="G7" s="274" t="s">
        <v>384</v>
      </c>
      <c r="H7" s="274" t="s">
        <v>385</v>
      </c>
      <c r="I7" s="274" t="s">
        <v>391</v>
      </c>
      <c r="J7" s="275" t="s">
        <v>383</v>
      </c>
      <c r="K7" s="244"/>
      <c r="L7" s="273" t="s">
        <v>383</v>
      </c>
      <c r="M7" s="274" t="s">
        <v>307</v>
      </c>
      <c r="N7" s="274" t="s">
        <v>308</v>
      </c>
      <c r="O7" s="274" t="s">
        <v>40</v>
      </c>
      <c r="P7" s="274" t="s">
        <v>382</v>
      </c>
      <c r="Q7" s="274" t="s">
        <v>37</v>
      </c>
      <c r="R7" s="274" t="s">
        <v>387</v>
      </c>
      <c r="S7" s="275" t="s">
        <v>388</v>
      </c>
      <c r="T7" s="244"/>
      <c r="U7" s="282"/>
      <c r="V7" s="242"/>
    </row>
    <row r="8" spans="1:22" ht="12.75" customHeight="1" thickBot="1">
      <c r="A8" s="365"/>
      <c r="B8" s="270"/>
      <c r="C8" s="277">
        <f>IF(sim="","",sim)</f>
        <v>16</v>
      </c>
      <c r="D8" s="278">
        <f>IF(VOC="","",VOC)</f>
        <v>11</v>
      </c>
      <c r="E8" s="278">
        <f>IF(IN="","",IN)</f>
        <v>12</v>
      </c>
      <c r="F8" s="278">
        <f>IF(COMP="","",COMP)</f>
        <v>12</v>
      </c>
      <c r="G8" s="278">
        <f>IF(DS="","",DS)</f>
        <v>12</v>
      </c>
      <c r="H8" s="278">
        <f>IF(AR="","",AR)</f>
        <v>16</v>
      </c>
      <c r="I8" s="278">
        <f>IF(lns="","",lns)</f>
        <v>11</v>
      </c>
      <c r="J8" s="279">
        <f>IF(PCm="","",PCm)</f>
        <v>10</v>
      </c>
      <c r="K8" s="244"/>
      <c r="L8" s="277">
        <f>IF(PCm="","",PCm)</f>
        <v>10</v>
      </c>
      <c r="M8" s="278">
        <f>IF(bd="","",bd)</f>
        <v>10</v>
      </c>
      <c r="N8" s="278">
        <f>IF(MR="","",MR)</f>
        <v>16</v>
      </c>
      <c r="O8" s="278">
        <f>IF(VP="","",VP)</f>
        <v>9</v>
      </c>
      <c r="P8" s="278">
        <f>IF(FW="","",FW)</f>
        <v>16</v>
      </c>
      <c r="Q8" s="278">
        <f>IF(SS="","",SS)</f>
        <v>10</v>
      </c>
      <c r="R8" s="278">
        <f>IF(CD="","",CD)</f>
        <v>5</v>
      </c>
      <c r="S8" s="279">
        <f>IF(CA="","",CA)</f>
        <v>7</v>
      </c>
      <c r="T8" s="244"/>
      <c r="U8" s="282"/>
      <c r="V8" s="242"/>
    </row>
    <row r="9" spans="1:22" ht="15.75" customHeight="1" thickBot="1">
      <c r="A9" s="365"/>
      <c r="B9" s="270"/>
      <c r="C9" s="359" t="s">
        <v>152</v>
      </c>
      <c r="D9" s="359"/>
      <c r="E9" s="359"/>
      <c r="F9" s="359"/>
      <c r="G9" s="359"/>
      <c r="H9" s="359"/>
      <c r="I9" s="359"/>
      <c r="J9" s="359"/>
      <c r="K9" s="280"/>
      <c r="L9" s="359" t="s">
        <v>392</v>
      </c>
      <c r="M9" s="359"/>
      <c r="N9" s="359"/>
      <c r="O9" s="359"/>
      <c r="P9" s="359"/>
      <c r="Q9" s="359"/>
      <c r="R9" s="359"/>
      <c r="S9" s="359"/>
      <c r="T9" s="280"/>
      <c r="U9" s="276"/>
      <c r="V9" s="242"/>
    </row>
    <row r="10" spans="1:22" ht="3.75" customHeight="1" thickTop="1" thickBot="1">
      <c r="B10" s="270"/>
      <c r="C10" s="272"/>
      <c r="D10" s="272"/>
      <c r="E10" s="272"/>
      <c r="F10" s="272"/>
      <c r="G10" s="272"/>
      <c r="H10" s="281"/>
      <c r="I10" s="366"/>
      <c r="J10" s="366"/>
      <c r="K10" s="366"/>
      <c r="L10" s="366"/>
      <c r="M10" s="272"/>
      <c r="N10" s="272"/>
      <c r="O10" s="281"/>
      <c r="P10" s="272"/>
      <c r="Q10" s="272"/>
      <c r="R10" s="272"/>
      <c r="S10" s="281"/>
      <c r="T10" s="272"/>
      <c r="U10" s="276"/>
      <c r="V10" s="242"/>
    </row>
    <row r="11" spans="1:22" ht="18" customHeight="1">
      <c r="A11" s="365" t="s">
        <v>393</v>
      </c>
      <c r="B11" s="270"/>
      <c r="C11" s="273" t="s">
        <v>377</v>
      </c>
      <c r="D11" s="274" t="s">
        <v>378</v>
      </c>
      <c r="E11" s="274" t="s">
        <v>379</v>
      </c>
      <c r="F11" s="274" t="s">
        <v>380</v>
      </c>
      <c r="G11" s="274" t="s">
        <v>307</v>
      </c>
      <c r="H11" s="274" t="s">
        <v>308</v>
      </c>
      <c r="I11" s="274" t="s">
        <v>40</v>
      </c>
      <c r="J11" s="274" t="s">
        <v>382</v>
      </c>
      <c r="K11" s="275" t="s">
        <v>383</v>
      </c>
      <c r="L11" s="244"/>
      <c r="M11" s="273" t="s">
        <v>384</v>
      </c>
      <c r="N11" s="274" t="s">
        <v>385</v>
      </c>
      <c r="O11" s="274" t="s">
        <v>386</v>
      </c>
      <c r="P11" s="274" t="s">
        <v>37</v>
      </c>
      <c r="Q11" s="274" t="s">
        <v>387</v>
      </c>
      <c r="R11" s="275" t="s">
        <v>388</v>
      </c>
      <c r="S11" s="244"/>
      <c r="T11" s="244"/>
      <c r="U11" s="276"/>
      <c r="V11" s="242"/>
    </row>
    <row r="12" spans="1:22" ht="14.25" customHeight="1" thickBot="1">
      <c r="A12" s="365"/>
      <c r="B12" s="270"/>
      <c r="C12" s="277">
        <f>IF(sim="","",sim)</f>
        <v>16</v>
      </c>
      <c r="D12" s="278">
        <f>IF(VOC="","",VOC)</f>
        <v>11</v>
      </c>
      <c r="E12" s="278">
        <f>IF(IN="","",IN)</f>
        <v>12</v>
      </c>
      <c r="F12" s="278">
        <f>IF(COMP="","",COMP)</f>
        <v>12</v>
      </c>
      <c r="G12" s="278">
        <f>IF(CA="","",CA)</f>
        <v>7</v>
      </c>
      <c r="H12" s="278">
        <f>IF(MR="","",MR)</f>
        <v>16</v>
      </c>
      <c r="I12" s="278">
        <f>IF(VP="","",VP)</f>
        <v>9</v>
      </c>
      <c r="J12" s="278">
        <f>IF(FW="","",FW)</f>
        <v>16</v>
      </c>
      <c r="K12" s="279">
        <f>IF(PCm="","",PCm)</f>
        <v>10</v>
      </c>
      <c r="L12" s="244"/>
      <c r="M12" s="277">
        <f>IF(DS="","",DS)</f>
        <v>12</v>
      </c>
      <c r="N12" s="278">
        <f>IF(AR="","",AR)</f>
        <v>16</v>
      </c>
      <c r="O12" s="278">
        <f>IF(lns="","",lns)</f>
        <v>11</v>
      </c>
      <c r="P12" s="278">
        <f>IF(SS="","",SS)</f>
        <v>10</v>
      </c>
      <c r="Q12" s="278">
        <f>IF(CD="","",CD)</f>
        <v>5</v>
      </c>
      <c r="R12" s="279">
        <f>IF(CA="","",CA)</f>
        <v>7</v>
      </c>
      <c r="S12" s="244"/>
      <c r="T12" s="244"/>
      <c r="U12" s="276"/>
      <c r="V12" s="242"/>
    </row>
    <row r="13" spans="1:22" ht="15" customHeight="1">
      <c r="A13" s="365"/>
      <c r="B13" s="270"/>
      <c r="C13" s="367" t="s">
        <v>394</v>
      </c>
      <c r="D13" s="367"/>
      <c r="E13" s="367"/>
      <c r="F13" s="367"/>
      <c r="G13" s="367"/>
      <c r="H13" s="367"/>
      <c r="I13" s="367"/>
      <c r="J13" s="367"/>
      <c r="K13" s="367"/>
      <c r="L13" s="283"/>
      <c r="M13" s="360" t="s">
        <v>395</v>
      </c>
      <c r="N13" s="360"/>
      <c r="O13" s="360"/>
      <c r="P13" s="360"/>
      <c r="Q13" s="360"/>
      <c r="R13" s="360"/>
      <c r="S13" s="244"/>
      <c r="T13" s="281"/>
      <c r="U13" s="276"/>
      <c r="V13" s="242"/>
    </row>
    <row r="14" spans="1:22" ht="4.5" customHeight="1" thickBot="1">
      <c r="B14" s="270"/>
      <c r="C14" s="272"/>
      <c r="D14" s="272"/>
      <c r="E14" s="272"/>
      <c r="F14" s="272"/>
      <c r="G14" s="272"/>
      <c r="H14" s="281"/>
      <c r="I14" s="366"/>
      <c r="J14" s="366"/>
      <c r="K14" s="366"/>
      <c r="L14" s="366"/>
      <c r="M14" s="272"/>
      <c r="N14" s="272"/>
      <c r="O14" s="281"/>
      <c r="P14" s="272"/>
      <c r="Q14" s="272"/>
      <c r="R14" s="272"/>
      <c r="S14" s="281"/>
      <c r="T14" s="272"/>
      <c r="U14" s="276"/>
      <c r="V14" s="242"/>
    </row>
    <row r="15" spans="1:22" ht="18" customHeight="1">
      <c r="A15" s="365" t="s">
        <v>396</v>
      </c>
      <c r="B15" s="270"/>
      <c r="C15" s="273" t="s">
        <v>377</v>
      </c>
      <c r="D15" s="274" t="s">
        <v>378</v>
      </c>
      <c r="E15" s="274" t="s">
        <v>379</v>
      </c>
      <c r="F15" s="275" t="s">
        <v>380</v>
      </c>
      <c r="G15" s="284"/>
      <c r="H15" s="273" t="s">
        <v>307</v>
      </c>
      <c r="I15" s="274" t="s">
        <v>308</v>
      </c>
      <c r="J15" s="274" t="s">
        <v>40</v>
      </c>
      <c r="K15" s="274" t="s">
        <v>382</v>
      </c>
      <c r="L15" s="275" t="s">
        <v>383</v>
      </c>
      <c r="M15" s="244"/>
      <c r="N15" s="273" t="s">
        <v>384</v>
      </c>
      <c r="O15" s="274" t="s">
        <v>385</v>
      </c>
      <c r="P15" s="275" t="s">
        <v>386</v>
      </c>
      <c r="Q15" s="244"/>
      <c r="R15" s="273" t="s">
        <v>37</v>
      </c>
      <c r="S15" s="274" t="s">
        <v>387</v>
      </c>
      <c r="T15" s="275" t="s">
        <v>388</v>
      </c>
      <c r="U15" s="276"/>
      <c r="V15" s="242"/>
    </row>
    <row r="16" spans="1:22" ht="12" customHeight="1" thickBot="1">
      <c r="A16" s="365"/>
      <c r="B16" s="270"/>
      <c r="C16" s="277">
        <f>IF(sim="","",sim)</f>
        <v>16</v>
      </c>
      <c r="D16" s="278">
        <f>IF(VOC="","",VOC)</f>
        <v>11</v>
      </c>
      <c r="E16" s="278">
        <f>IF(IN="","",IN)</f>
        <v>12</v>
      </c>
      <c r="F16" s="279">
        <f>IF(COMP="","",COMP)</f>
        <v>12</v>
      </c>
      <c r="G16" s="284"/>
      <c r="H16" s="277">
        <f>IF(bd="","",bd)</f>
        <v>10</v>
      </c>
      <c r="I16" s="278">
        <f>IF(sim="","",sim)</f>
        <v>16</v>
      </c>
      <c r="J16" s="278">
        <f>IF(VP="","",VP)</f>
        <v>9</v>
      </c>
      <c r="K16" s="278">
        <f>IF(FW="","",FW)</f>
        <v>16</v>
      </c>
      <c r="L16" s="279">
        <f>IF(PCm="","",PCm)</f>
        <v>10</v>
      </c>
      <c r="M16" s="244"/>
      <c r="N16" s="277">
        <f>IF(DS="","",DS)</f>
        <v>12</v>
      </c>
      <c r="O16" s="278">
        <f>IF(AR="","",AR)</f>
        <v>16</v>
      </c>
      <c r="P16" s="279">
        <f>IF(lns="","",lns)</f>
        <v>11</v>
      </c>
      <c r="Q16" s="244"/>
      <c r="R16" s="277">
        <f>IF(SS="","",SS)</f>
        <v>10</v>
      </c>
      <c r="S16" s="278">
        <f>IF(CD="","",CD)</f>
        <v>5</v>
      </c>
      <c r="T16" s="279">
        <f>IF(CA="","",CA)</f>
        <v>7</v>
      </c>
      <c r="U16" s="276"/>
      <c r="V16" s="242"/>
    </row>
    <row r="17" spans="1:22" s="246" customFormat="1" ht="14.25" customHeight="1">
      <c r="A17" s="365"/>
      <c r="B17" s="285"/>
      <c r="C17" s="360" t="s">
        <v>85</v>
      </c>
      <c r="D17" s="360"/>
      <c r="E17" s="360"/>
      <c r="F17" s="360"/>
      <c r="G17" s="281"/>
      <c r="H17" s="360" t="s">
        <v>397</v>
      </c>
      <c r="I17" s="360"/>
      <c r="J17" s="360"/>
      <c r="K17" s="360"/>
      <c r="L17" s="360"/>
      <c r="M17" s="281"/>
      <c r="N17" s="360" t="s">
        <v>87</v>
      </c>
      <c r="O17" s="360"/>
      <c r="P17" s="360"/>
      <c r="Q17" s="244"/>
      <c r="R17" s="360" t="s">
        <v>92</v>
      </c>
      <c r="S17" s="360"/>
      <c r="T17" s="360"/>
      <c r="U17" s="283"/>
      <c r="V17" s="245"/>
    </row>
    <row r="18" spans="1:22" ht="5.25" customHeight="1" thickBot="1">
      <c r="A18" s="247"/>
      <c r="B18" s="270"/>
      <c r="C18" s="280"/>
      <c r="D18" s="280"/>
      <c r="E18" s="280"/>
      <c r="F18" s="280"/>
      <c r="G18" s="280"/>
      <c r="H18" s="280"/>
      <c r="I18" s="359"/>
      <c r="J18" s="359"/>
      <c r="K18" s="359"/>
      <c r="L18" s="359"/>
      <c r="M18" s="280"/>
      <c r="N18" s="280"/>
      <c r="O18" s="280"/>
      <c r="P18" s="280"/>
      <c r="Q18" s="280"/>
      <c r="R18" s="280"/>
      <c r="S18" s="280"/>
      <c r="T18" s="280"/>
      <c r="U18" s="276"/>
      <c r="V18" s="242"/>
    </row>
    <row r="19" spans="1:22" ht="3.75" customHeight="1" thickTop="1" thickBot="1">
      <c r="A19" s="365" t="s">
        <v>398</v>
      </c>
      <c r="B19" s="270"/>
      <c r="C19" s="281"/>
      <c r="D19" s="281"/>
      <c r="E19" s="281"/>
      <c r="F19" s="281"/>
      <c r="G19" s="281"/>
      <c r="H19" s="281"/>
      <c r="I19" s="360"/>
      <c r="J19" s="360"/>
      <c r="K19" s="360"/>
      <c r="L19" s="360"/>
      <c r="M19" s="281"/>
      <c r="N19" s="281"/>
      <c r="O19" s="281"/>
      <c r="P19" s="281"/>
      <c r="Q19" s="281"/>
      <c r="R19" s="281"/>
      <c r="S19" s="281"/>
      <c r="T19" s="281"/>
      <c r="U19" s="276"/>
      <c r="V19" s="242"/>
    </row>
    <row r="20" spans="1:22">
      <c r="A20" s="365"/>
      <c r="B20" s="241"/>
      <c r="C20" s="273" t="s">
        <v>377</v>
      </c>
      <c r="D20" s="275" t="s">
        <v>378</v>
      </c>
      <c r="E20" s="284"/>
      <c r="F20" s="273" t="s">
        <v>399</v>
      </c>
      <c r="G20" s="275" t="s">
        <v>400</v>
      </c>
      <c r="H20" s="284"/>
      <c r="I20" s="273" t="s">
        <v>379</v>
      </c>
      <c r="J20" s="274" t="s">
        <v>385</v>
      </c>
      <c r="K20" s="275" t="s">
        <v>401</v>
      </c>
      <c r="L20" s="244"/>
      <c r="M20" s="273" t="s">
        <v>382</v>
      </c>
      <c r="N20" s="275" t="s">
        <v>402</v>
      </c>
      <c r="O20" s="244"/>
      <c r="P20" s="273" t="s">
        <v>307</v>
      </c>
      <c r="Q20" s="274" t="s">
        <v>308</v>
      </c>
      <c r="R20" s="275" t="s">
        <v>40</v>
      </c>
      <c r="S20" s="284"/>
      <c r="U20" s="270"/>
      <c r="V20" s="242"/>
    </row>
    <row r="21" spans="1:22" ht="15.75" thickBot="1">
      <c r="A21" s="365"/>
      <c r="B21" s="241"/>
      <c r="C21" s="277">
        <f>IF(sim="","",sim)</f>
        <v>16</v>
      </c>
      <c r="D21" s="279">
        <f>IF(VOC="","",VOC)</f>
        <v>11</v>
      </c>
      <c r="E21" s="284"/>
      <c r="F21" s="277">
        <f>IF(IN="","",IN)</f>
        <v>12</v>
      </c>
      <c r="G21" s="279">
        <f>IF(COMP="","",COMP)</f>
        <v>12</v>
      </c>
      <c r="H21" s="284"/>
      <c r="I21" s="277">
        <f>IF(IN="","",IN)</f>
        <v>12</v>
      </c>
      <c r="J21" s="278">
        <f>IF(AR="","",AR)</f>
        <v>16</v>
      </c>
      <c r="K21" s="279">
        <f>IF(VOC="","",VOC)</f>
        <v>11</v>
      </c>
      <c r="L21" s="244"/>
      <c r="M21" s="277">
        <f>IF(FW="","",FW)</f>
        <v>16</v>
      </c>
      <c r="N21" s="279">
        <f>IF(PCm="","",PCm)</f>
        <v>10</v>
      </c>
      <c r="O21" s="244"/>
      <c r="P21" s="277">
        <f>IF(bd="","",bd)</f>
        <v>10</v>
      </c>
      <c r="Q21" s="278">
        <f>IF(MR="","",MR)</f>
        <v>16</v>
      </c>
      <c r="R21" s="279">
        <f>IF(VP="","",VP)</f>
        <v>9</v>
      </c>
      <c r="S21" s="284"/>
      <c r="U21" s="270"/>
      <c r="V21" s="242"/>
    </row>
    <row r="22" spans="1:22" ht="47.25" customHeight="1">
      <c r="A22" s="365"/>
      <c r="B22" s="270"/>
      <c r="C22" s="360" t="s">
        <v>403</v>
      </c>
      <c r="D22" s="360"/>
      <c r="E22" s="281"/>
      <c r="F22" s="360" t="s">
        <v>404</v>
      </c>
      <c r="G22" s="360"/>
      <c r="H22" s="281"/>
      <c r="I22" s="360" t="s">
        <v>405</v>
      </c>
      <c r="J22" s="360"/>
      <c r="K22" s="360"/>
      <c r="L22" s="244"/>
      <c r="M22" s="360" t="s">
        <v>406</v>
      </c>
      <c r="N22" s="360"/>
      <c r="O22" s="244"/>
      <c r="P22" s="360" t="s">
        <v>407</v>
      </c>
      <c r="Q22" s="360"/>
      <c r="R22" s="360"/>
      <c r="T22" s="283"/>
      <c r="U22" s="270"/>
      <c r="V22" s="242"/>
    </row>
    <row r="23" spans="1:22" ht="3.75" customHeight="1" thickBot="1">
      <c r="A23" s="365"/>
      <c r="B23" s="270"/>
      <c r="C23" s="281"/>
      <c r="D23" s="281"/>
      <c r="E23" s="281"/>
      <c r="F23" s="281"/>
      <c r="G23" s="281"/>
      <c r="H23" s="281"/>
      <c r="I23" s="281"/>
      <c r="J23" s="281"/>
      <c r="K23" s="281"/>
      <c r="L23" s="281"/>
      <c r="M23" s="281"/>
      <c r="N23" s="281"/>
      <c r="O23" s="281"/>
      <c r="P23" s="281"/>
      <c r="Q23" s="281"/>
      <c r="R23" s="281"/>
      <c r="S23" s="281"/>
      <c r="T23" s="281"/>
      <c r="U23" s="276"/>
      <c r="V23" s="242"/>
    </row>
    <row r="24" spans="1:22">
      <c r="A24" s="365"/>
      <c r="B24" s="270"/>
      <c r="C24" s="273" t="s">
        <v>377</v>
      </c>
      <c r="D24" s="275" t="s">
        <v>400</v>
      </c>
      <c r="E24" s="284"/>
      <c r="F24" s="273" t="s">
        <v>378</v>
      </c>
      <c r="G24" s="275" t="s">
        <v>379</v>
      </c>
      <c r="H24" s="244"/>
      <c r="I24" s="273" t="s">
        <v>377</v>
      </c>
      <c r="J24" s="274" t="s">
        <v>378</v>
      </c>
      <c r="K24" s="275" t="s">
        <v>379</v>
      </c>
      <c r="L24" s="284"/>
      <c r="M24" s="273" t="s">
        <v>400</v>
      </c>
      <c r="N24" s="275" t="s">
        <v>385</v>
      </c>
      <c r="P24" s="273" t="s">
        <v>377</v>
      </c>
      <c r="Q24" s="274" t="s">
        <v>308</v>
      </c>
      <c r="R24" s="274" t="s">
        <v>309</v>
      </c>
      <c r="S24" s="274" t="s">
        <v>37</v>
      </c>
      <c r="T24" s="275" t="s">
        <v>313</v>
      </c>
      <c r="U24" s="270"/>
      <c r="V24" s="242"/>
    </row>
    <row r="25" spans="1:22" ht="15.75" thickBot="1">
      <c r="A25" s="365"/>
      <c r="B25" s="270"/>
      <c r="C25" s="277">
        <f>IF(sim="","",sim)</f>
        <v>16</v>
      </c>
      <c r="D25" s="279">
        <f>IF(COMP="","",COMP)</f>
        <v>12</v>
      </c>
      <c r="E25" s="284"/>
      <c r="F25" s="277">
        <f>IF(VOC="","",VOC)</f>
        <v>11</v>
      </c>
      <c r="G25" s="279">
        <f>IF(IN="","",IN)</f>
        <v>12</v>
      </c>
      <c r="H25" s="244"/>
      <c r="I25" s="277">
        <f>IF(sim="","",sim)</f>
        <v>16</v>
      </c>
      <c r="J25" s="278">
        <f>IF(VOC="","",VOC)</f>
        <v>11</v>
      </c>
      <c r="K25" s="279">
        <f>IF(IN="","",IN)</f>
        <v>12</v>
      </c>
      <c r="L25" s="284"/>
      <c r="M25" s="277">
        <f>IF(COMP="","",COMP)</f>
        <v>12</v>
      </c>
      <c r="N25" s="279">
        <f>IF(AR="","",AR)</f>
        <v>16</v>
      </c>
      <c r="P25" s="277">
        <f>IF(sim="","",sim)</f>
        <v>16</v>
      </c>
      <c r="Q25" s="278">
        <f>IF(sim="","",sim)</f>
        <v>16</v>
      </c>
      <c r="R25" s="278">
        <f>IF(FW="","",FW)</f>
        <v>16</v>
      </c>
      <c r="S25" s="278">
        <f>IF(SS="","",SS)</f>
        <v>10</v>
      </c>
      <c r="T25" s="279">
        <f>IF(CA="","",CA)</f>
        <v>7</v>
      </c>
      <c r="U25" s="270"/>
      <c r="V25" s="242"/>
    </row>
    <row r="26" spans="1:22" ht="45" customHeight="1">
      <c r="A26" s="365"/>
      <c r="B26" s="270"/>
      <c r="C26" s="360" t="s">
        <v>408</v>
      </c>
      <c r="D26" s="360"/>
      <c r="E26" s="281"/>
      <c r="F26" s="360" t="s">
        <v>409</v>
      </c>
      <c r="G26" s="360"/>
      <c r="H26" s="244"/>
      <c r="I26" s="360" t="s">
        <v>410</v>
      </c>
      <c r="J26" s="360"/>
      <c r="K26" s="360"/>
      <c r="L26" s="281"/>
      <c r="M26" s="360" t="s">
        <v>411</v>
      </c>
      <c r="N26" s="360"/>
      <c r="O26" s="283"/>
      <c r="P26" s="364" t="s">
        <v>412</v>
      </c>
      <c r="Q26" s="364"/>
      <c r="R26" s="364"/>
      <c r="S26" s="364"/>
      <c r="T26" s="364"/>
      <c r="U26" s="286"/>
      <c r="V26" s="242"/>
    </row>
    <row r="27" spans="1:22" ht="6" customHeight="1" thickBot="1">
      <c r="A27" s="365"/>
      <c r="B27" s="270"/>
      <c r="C27" s="281"/>
      <c r="D27" s="281"/>
      <c r="E27" s="281"/>
      <c r="F27" s="281"/>
      <c r="G27" s="281"/>
      <c r="H27" s="281"/>
      <c r="I27" s="360"/>
      <c r="J27" s="360"/>
      <c r="K27" s="281"/>
      <c r="L27" s="281"/>
      <c r="M27" s="281"/>
      <c r="N27" s="281"/>
      <c r="O27" s="272"/>
      <c r="P27" s="272"/>
      <c r="Q27" s="272"/>
      <c r="R27" s="272"/>
      <c r="S27" s="272"/>
      <c r="T27" s="272"/>
      <c r="U27" s="276"/>
      <c r="V27" s="242"/>
    </row>
    <row r="28" spans="1:22" ht="10.5" customHeight="1">
      <c r="A28" s="365"/>
      <c r="B28" s="270"/>
      <c r="C28" s="273" t="s">
        <v>377</v>
      </c>
      <c r="D28" s="274" t="s">
        <v>378</v>
      </c>
      <c r="E28" s="274" t="s">
        <v>379</v>
      </c>
      <c r="F28" s="275" t="s">
        <v>385</v>
      </c>
      <c r="G28" s="244"/>
      <c r="H28" s="273" t="s">
        <v>378</v>
      </c>
      <c r="I28" s="275" t="s">
        <v>400</v>
      </c>
      <c r="J28" s="244"/>
      <c r="K28" s="287" t="s">
        <v>413</v>
      </c>
      <c r="L28" s="244"/>
      <c r="M28" s="273" t="s">
        <v>414</v>
      </c>
      <c r="N28" s="274" t="s">
        <v>415</v>
      </c>
      <c r="O28" s="274" t="s">
        <v>391</v>
      </c>
      <c r="P28" s="275" t="s">
        <v>416</v>
      </c>
      <c r="Q28" s="244"/>
      <c r="R28" s="287" t="s">
        <v>313</v>
      </c>
      <c r="T28" s="244"/>
      <c r="U28" s="276"/>
      <c r="V28" s="242"/>
    </row>
    <row r="29" spans="1:22" ht="13.5" customHeight="1" thickBot="1">
      <c r="A29" s="365"/>
      <c r="B29" s="270"/>
      <c r="C29" s="277">
        <f>IF(sim="","",sim)</f>
        <v>16</v>
      </c>
      <c r="D29" s="278">
        <f>IF(VOC="","",VOC)</f>
        <v>11</v>
      </c>
      <c r="E29" s="278">
        <f>IF(IN="","",IN)</f>
        <v>12</v>
      </c>
      <c r="F29" s="279">
        <f>IF(AR="","",AR)</f>
        <v>16</v>
      </c>
      <c r="G29" s="244"/>
      <c r="H29" s="277">
        <f>IF(VOC="","",VOC)</f>
        <v>11</v>
      </c>
      <c r="I29" s="279">
        <f>IF(COMP="","",COMP)</f>
        <v>12</v>
      </c>
      <c r="J29" s="244"/>
      <c r="K29" s="288">
        <f>IF(dsf="","",dsf)</f>
        <v>18</v>
      </c>
      <c r="L29" s="244"/>
      <c r="M29" s="277">
        <f>IF(dsb="","",dsb)</f>
        <v>17</v>
      </c>
      <c r="N29" s="278">
        <f>IF(dssq="","",dssq)</f>
        <v>13</v>
      </c>
      <c r="O29" s="278">
        <f>IF(lns="","",lns)</f>
        <v>11</v>
      </c>
      <c r="P29" s="279">
        <f>IF(AR="","",AR)</f>
        <v>16</v>
      </c>
      <c r="Q29" s="244"/>
      <c r="R29" s="288">
        <f>IF(CA="","",CA)</f>
        <v>7</v>
      </c>
      <c r="T29" s="244"/>
      <c r="U29" s="276"/>
      <c r="V29" s="242"/>
    </row>
    <row r="30" spans="1:22" ht="36.75" customHeight="1">
      <c r="A30" s="365"/>
      <c r="B30" s="270"/>
      <c r="C30" s="360" t="s">
        <v>417</v>
      </c>
      <c r="D30" s="360"/>
      <c r="E30" s="360"/>
      <c r="F30" s="360"/>
      <c r="G30" s="281"/>
      <c r="H30" s="360" t="s">
        <v>418</v>
      </c>
      <c r="I30" s="360"/>
      <c r="J30" s="244"/>
      <c r="K30" s="363" t="s">
        <v>222</v>
      </c>
      <c r="L30" s="363"/>
      <c r="M30" s="360" t="s">
        <v>87</v>
      </c>
      <c r="N30" s="360"/>
      <c r="O30" s="360"/>
      <c r="P30" s="360"/>
      <c r="Q30" s="244"/>
      <c r="R30" s="283" t="s">
        <v>419</v>
      </c>
      <c r="S30" s="283"/>
      <c r="T30" s="283"/>
      <c r="U30" s="276"/>
      <c r="V30" s="242"/>
    </row>
    <row r="31" spans="1:22" ht="5.25" customHeight="1" thickBot="1">
      <c r="A31" s="365"/>
      <c r="B31" s="270"/>
      <c r="C31" s="281"/>
      <c r="D31" s="281"/>
      <c r="E31" s="281"/>
      <c r="F31" s="281"/>
      <c r="G31" s="281"/>
      <c r="H31" s="281"/>
      <c r="I31" s="281"/>
      <c r="J31" s="281"/>
      <c r="K31" s="281"/>
      <c r="L31" s="281"/>
      <c r="M31" s="281"/>
      <c r="N31" s="281"/>
      <c r="O31" s="281"/>
      <c r="P31" s="281"/>
      <c r="Q31" s="272"/>
      <c r="R31" s="272"/>
      <c r="S31" s="272"/>
      <c r="T31" s="272"/>
      <c r="U31" s="276"/>
      <c r="V31" s="242"/>
    </row>
    <row r="32" spans="1:22" ht="11.25" customHeight="1">
      <c r="A32" s="365"/>
      <c r="B32" s="270"/>
      <c r="C32" s="287" t="s">
        <v>307</v>
      </c>
      <c r="D32" s="272"/>
      <c r="E32" s="287" t="s">
        <v>308</v>
      </c>
      <c r="F32" s="272"/>
      <c r="G32" s="273" t="s">
        <v>420</v>
      </c>
      <c r="H32" s="248" t="s">
        <v>40</v>
      </c>
      <c r="I32" s="248" t="s">
        <v>309</v>
      </c>
      <c r="J32" s="248" t="s">
        <v>402</v>
      </c>
      <c r="K32" s="274" t="s">
        <v>385</v>
      </c>
      <c r="L32" s="274" t="s">
        <v>37</v>
      </c>
      <c r="M32" s="274" t="s">
        <v>387</v>
      </c>
      <c r="N32" s="275" t="s">
        <v>313</v>
      </c>
      <c r="O32" s="244"/>
      <c r="P32" s="244"/>
      <c r="Q32" s="244"/>
      <c r="R32" s="244"/>
      <c r="S32" s="244"/>
      <c r="T32" s="244"/>
      <c r="U32" s="276"/>
      <c r="V32" s="242"/>
    </row>
    <row r="33" spans="1:22" ht="13.5" customHeight="1" thickBot="1">
      <c r="A33" s="365"/>
      <c r="B33" s="270"/>
      <c r="C33" s="288">
        <f>IF(CA="","",CA)</f>
        <v>7</v>
      </c>
      <c r="D33" s="272"/>
      <c r="E33" s="288">
        <f>IF(MR="","",MR)</f>
        <v>16</v>
      </c>
      <c r="F33" s="272"/>
      <c r="G33" s="277">
        <f>IF(bdnt="","",bdnt)</f>
        <v>14</v>
      </c>
      <c r="H33" s="278">
        <f>IF(VP="","",VP)</f>
        <v>9</v>
      </c>
      <c r="I33" s="278">
        <f>IF(FW="","",FW)</f>
        <v>16</v>
      </c>
      <c r="J33" s="278">
        <f>IF(PCm="","",PCm)</f>
        <v>10</v>
      </c>
      <c r="K33" s="278">
        <f>IF(AR="","",AR)</f>
        <v>16</v>
      </c>
      <c r="L33" s="278">
        <f>IF(SS="","",SS)</f>
        <v>10</v>
      </c>
      <c r="M33" s="278">
        <f>IF(CD="","",CD)</f>
        <v>5</v>
      </c>
      <c r="N33" s="279">
        <f>IF(CA="","",CA)</f>
        <v>7</v>
      </c>
      <c r="O33" s="244"/>
      <c r="P33" s="244"/>
      <c r="Q33" s="244"/>
      <c r="R33" s="244"/>
      <c r="S33" s="244"/>
      <c r="T33" s="244"/>
      <c r="U33" s="276"/>
      <c r="V33" s="242"/>
    </row>
    <row r="34" spans="1:22" ht="15.75" customHeight="1">
      <c r="A34" s="365"/>
      <c r="B34" s="363" t="s">
        <v>421</v>
      </c>
      <c r="C34" s="363"/>
      <c r="D34" s="363"/>
      <c r="E34" s="363" t="s">
        <v>422</v>
      </c>
      <c r="F34" s="363"/>
      <c r="G34" s="360" t="s">
        <v>423</v>
      </c>
      <c r="H34" s="360"/>
      <c r="I34" s="360"/>
      <c r="J34" s="360"/>
      <c r="K34" s="360"/>
      <c r="L34" s="360"/>
      <c r="M34" s="360"/>
      <c r="N34" s="360"/>
      <c r="O34" s="244"/>
      <c r="P34" s="244"/>
      <c r="Q34" s="244"/>
      <c r="R34" s="244"/>
      <c r="S34" s="244"/>
      <c r="T34" s="244"/>
      <c r="U34" s="276"/>
      <c r="V34" s="242"/>
    </row>
    <row r="35" spans="1:22" ht="4.5" customHeight="1" thickBot="1">
      <c r="A35" s="365"/>
      <c r="B35" s="270"/>
      <c r="C35" s="272"/>
      <c r="D35" s="272"/>
      <c r="E35" s="272"/>
      <c r="F35" s="272"/>
      <c r="G35" s="272"/>
      <c r="H35" s="281"/>
      <c r="I35" s="360"/>
      <c r="J35" s="360"/>
      <c r="K35" s="360"/>
      <c r="L35" s="360"/>
      <c r="M35" s="281"/>
      <c r="N35" s="281"/>
      <c r="O35" s="281"/>
      <c r="P35" s="281"/>
      <c r="Q35" s="281"/>
      <c r="R35" s="281"/>
      <c r="S35" s="281"/>
      <c r="T35" s="281"/>
      <c r="U35" s="276"/>
      <c r="V35" s="242"/>
    </row>
    <row r="36" spans="1:22" ht="15.75" customHeight="1">
      <c r="A36" s="365"/>
      <c r="B36" s="270"/>
      <c r="C36" s="361" t="s">
        <v>424</v>
      </c>
      <c r="D36" s="362"/>
      <c r="E36" s="272"/>
      <c r="F36" s="361" t="s">
        <v>425</v>
      </c>
      <c r="G36" s="362"/>
      <c r="H36" s="284"/>
      <c r="I36" s="361" t="s">
        <v>426</v>
      </c>
      <c r="J36" s="362"/>
      <c r="K36" s="284"/>
      <c r="L36" s="361" t="s">
        <v>427</v>
      </c>
      <c r="M36" s="362"/>
      <c r="N36" s="284"/>
      <c r="O36" s="284"/>
      <c r="P36" s="284"/>
      <c r="Q36" s="244"/>
      <c r="R36" s="284"/>
      <c r="S36" s="284"/>
      <c r="T36" s="272"/>
      <c r="U36" s="276"/>
      <c r="V36" s="242"/>
    </row>
    <row r="37" spans="1:22" ht="12" customHeight="1" thickBot="1">
      <c r="A37" s="365"/>
      <c r="B37" s="270"/>
      <c r="C37" s="277">
        <f>IF(CA="","",CA)</f>
        <v>7</v>
      </c>
      <c r="D37" s="279">
        <f>IF(bdnt="","",bdnt)</f>
        <v>14</v>
      </c>
      <c r="E37" s="272"/>
      <c r="F37" s="277">
        <f>IF(dsf="","",dsf)</f>
        <v>18</v>
      </c>
      <c r="G37" s="279">
        <f>IF(dsb="","",dsb)</f>
        <v>17</v>
      </c>
      <c r="H37" s="284"/>
      <c r="I37" s="277">
        <f>IF(dsf="","",dsf)</f>
        <v>18</v>
      </c>
      <c r="J37" s="279">
        <f>IF(dssq="","",dssq)</f>
        <v>13</v>
      </c>
      <c r="K37" s="284"/>
      <c r="L37" s="277">
        <f>IF(dsb="","",dsb)</f>
        <v>17</v>
      </c>
      <c r="M37" s="279">
        <f>IF(dssq="","",dssq)</f>
        <v>13</v>
      </c>
      <c r="N37" s="284"/>
      <c r="O37" s="284"/>
      <c r="P37" s="284"/>
      <c r="Q37" s="244"/>
      <c r="R37" s="284"/>
      <c r="S37" s="284"/>
      <c r="T37" s="272"/>
      <c r="U37" s="276"/>
      <c r="V37" s="242"/>
    </row>
    <row r="38" spans="1:22" ht="15" customHeight="1">
      <c r="A38" s="365"/>
      <c r="B38" s="270"/>
      <c r="C38" s="360" t="s">
        <v>428</v>
      </c>
      <c r="D38" s="360"/>
      <c r="E38" s="360"/>
      <c r="F38" s="360"/>
      <c r="G38" s="360"/>
      <c r="H38" s="360"/>
      <c r="I38" s="360"/>
      <c r="J38" s="360"/>
      <c r="K38" s="360"/>
      <c r="L38" s="360"/>
      <c r="M38" s="360"/>
      <c r="N38" s="281"/>
      <c r="O38" s="281"/>
      <c r="P38" s="281"/>
      <c r="Q38" s="281"/>
      <c r="R38" s="281"/>
      <c r="S38" s="281"/>
      <c r="T38" s="272"/>
      <c r="U38" s="276"/>
      <c r="V38" s="242"/>
    </row>
  </sheetData>
  <sheetProtection password="8D61" sheet="1" objects="1" scenarios="1" selectLockedCells="1" selectUnlockedCells="1"/>
  <mergeCells count="48">
    <mergeCell ref="M13:R13"/>
    <mergeCell ref="I14:J14"/>
    <mergeCell ref="K14:L14"/>
    <mergeCell ref="C13:K13"/>
    <mergeCell ref="A1:T1"/>
    <mergeCell ref="A2:A5"/>
    <mergeCell ref="D5:R5"/>
    <mergeCell ref="A7:A9"/>
    <mergeCell ref="C9:J9"/>
    <mergeCell ref="L9:S9"/>
    <mergeCell ref="I10:J10"/>
    <mergeCell ref="K10:L10"/>
    <mergeCell ref="A11:A13"/>
    <mergeCell ref="A15:A17"/>
    <mergeCell ref="C17:F17"/>
    <mergeCell ref="H17:L17"/>
    <mergeCell ref="N17:P17"/>
    <mergeCell ref="R17:T17"/>
    <mergeCell ref="A19:A38"/>
    <mergeCell ref="I19:J19"/>
    <mergeCell ref="K19:L19"/>
    <mergeCell ref="C22:D22"/>
    <mergeCell ref="F22:G22"/>
    <mergeCell ref="I22:K22"/>
    <mergeCell ref="I27:J27"/>
    <mergeCell ref="C30:F30"/>
    <mergeCell ref="B34:D34"/>
    <mergeCell ref="E34:F34"/>
    <mergeCell ref="H30:I30"/>
    <mergeCell ref="F36:G36"/>
    <mergeCell ref="I36:J36"/>
    <mergeCell ref="L36:M36"/>
    <mergeCell ref="I18:J18"/>
    <mergeCell ref="K18:L18"/>
    <mergeCell ref="C38:M38"/>
    <mergeCell ref="M22:N22"/>
    <mergeCell ref="C36:D36"/>
    <mergeCell ref="K30:L30"/>
    <mergeCell ref="M30:P30"/>
    <mergeCell ref="G34:N34"/>
    <mergeCell ref="I35:J35"/>
    <mergeCell ref="K35:L35"/>
    <mergeCell ref="P22:R22"/>
    <mergeCell ref="C26:D26"/>
    <mergeCell ref="F26:G26"/>
    <mergeCell ref="I26:K26"/>
    <mergeCell ref="M26:N26"/>
    <mergeCell ref="P26:T26"/>
  </mergeCells>
  <phoneticPr fontId="3" type="noConversion"/>
  <pageMargins left="0.7" right="0.7" top="0.75" bottom="0.75" header="0.3" footer="0.3"/>
  <pageSetup orientation="landscape" r:id="rId1"/>
  <headerFooter>
    <oddHeader>&amp;C&amp;16DUMONT/WILLIS WAIS-IV Computer Template</oddHeader>
    <oddFooter>&amp;LWAIS-IV © The Psychological Corporation All rights reserved &amp;RPage &amp;P  WAIS-IV Template © Dumont - Willis 2008</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tabColor indexed="26"/>
    <pageSetUpPr autoPageBreaks="0"/>
  </sheetPr>
  <dimension ref="A2:R46"/>
  <sheetViews>
    <sheetView showGridLines="0" zoomScaleNormal="100" workbookViewId="0">
      <selection activeCell="G39" sqref="G39"/>
    </sheetView>
  </sheetViews>
  <sheetFormatPr defaultRowHeight="12"/>
  <cols>
    <col min="1" max="1" width="1.42578125" customWidth="1"/>
    <col min="2" max="2" width="1.28515625" customWidth="1"/>
    <col min="3" max="3" width="5" customWidth="1"/>
    <col min="4" max="4" width="4.42578125" customWidth="1"/>
    <col min="5" max="5" width="20.7109375" customWidth="1"/>
    <col min="6" max="6" width="6" customWidth="1"/>
    <col min="7" max="7" width="19.28515625" customWidth="1"/>
    <col min="8" max="8" width="5.7109375" customWidth="1"/>
    <col min="9" max="9" width="22.85546875" customWidth="1"/>
    <col min="10" max="10" width="5.140625" customWidth="1"/>
    <col min="11" max="11" width="13.42578125" customWidth="1"/>
    <col min="12" max="12" width="6.42578125" style="158" customWidth="1"/>
    <col min="13" max="17" width="6.42578125" style="159" hidden="1" customWidth="1"/>
    <col min="18" max="18" width="0" style="159" hidden="1" customWidth="1"/>
  </cols>
  <sheetData>
    <row r="2" spans="1:16" ht="18.75">
      <c r="E2" s="372" t="s">
        <v>429</v>
      </c>
      <c r="F2" s="372"/>
      <c r="G2" s="372"/>
      <c r="H2" s="372"/>
      <c r="I2" s="372"/>
      <c r="J2" s="372"/>
      <c r="M2" s="289"/>
      <c r="N2" s="289"/>
      <c r="O2" s="289"/>
      <c r="P2" s="289"/>
    </row>
    <row r="4" spans="1:16" ht="24.75" customHeight="1">
      <c r="A4" s="5"/>
      <c r="B4" s="5"/>
      <c r="C4" s="75"/>
      <c r="D4" s="75"/>
      <c r="E4" s="373" t="s">
        <v>430</v>
      </c>
      <c r="F4" s="374"/>
      <c r="G4" s="374"/>
      <c r="H4" s="374"/>
      <c r="I4" s="374"/>
      <c r="J4" s="375"/>
      <c r="K4" s="106"/>
      <c r="L4" s="162"/>
      <c r="M4" s="289"/>
      <c r="N4" s="289"/>
      <c r="O4" s="289"/>
      <c r="P4" s="289"/>
    </row>
    <row r="5" spans="1:16" ht="17.25" customHeight="1">
      <c r="A5" s="5"/>
      <c r="B5" s="5"/>
      <c r="C5" s="75"/>
      <c r="D5" s="75"/>
      <c r="E5" s="378" t="s">
        <v>431</v>
      </c>
      <c r="F5" s="379"/>
      <c r="G5" s="378" t="s">
        <v>432</v>
      </c>
      <c r="H5" s="379"/>
      <c r="I5" s="378" t="s">
        <v>433</v>
      </c>
      <c r="J5" s="379"/>
      <c r="K5" s="106"/>
      <c r="L5" s="162"/>
      <c r="M5" s="289"/>
      <c r="N5" s="289"/>
      <c r="O5" s="289"/>
      <c r="P5" s="289"/>
    </row>
    <row r="6" spans="1:16" ht="5.25" customHeight="1">
      <c r="A6" s="7"/>
      <c r="B6" s="5"/>
      <c r="C6" s="380" t="s">
        <v>434</v>
      </c>
      <c r="D6" s="383" t="s">
        <v>431</v>
      </c>
      <c r="E6" s="84"/>
      <c r="F6" s="109"/>
      <c r="G6" s="76"/>
      <c r="H6" s="78"/>
      <c r="I6" s="82"/>
      <c r="J6" s="77"/>
      <c r="K6" s="106"/>
      <c r="L6" s="162"/>
      <c r="M6" s="289">
        <f>IF(J8="",0,J8)</f>
        <v>10</v>
      </c>
      <c r="N6" s="289">
        <f>IF(J8="","",1)</f>
        <v>1</v>
      </c>
      <c r="O6" s="289"/>
      <c r="P6" s="289"/>
    </row>
    <row r="7" spans="1:16" ht="18.75" customHeight="1">
      <c r="A7" s="7"/>
      <c r="B7" s="5"/>
      <c r="C7" s="381"/>
      <c r="D7" s="384"/>
      <c r="E7" s="91" t="s">
        <v>153</v>
      </c>
      <c r="F7" s="148">
        <f>IF(sim="","",sim)</f>
        <v>16</v>
      </c>
      <c r="G7" s="87"/>
      <c r="H7" s="88"/>
      <c r="I7" s="112"/>
      <c r="J7" s="168"/>
      <c r="K7" s="115" t="s">
        <v>435</v>
      </c>
      <c r="L7" s="162"/>
      <c r="M7" s="289">
        <f>IF(F7="",0,F7)</f>
        <v>16</v>
      </c>
      <c r="N7" s="289">
        <f>IF(F7="","",1)</f>
        <v>1</v>
      </c>
      <c r="O7" s="289"/>
      <c r="P7" s="289"/>
    </row>
    <row r="8" spans="1:16" ht="18.75" customHeight="1">
      <c r="A8" s="7"/>
      <c r="B8" s="5"/>
      <c r="C8" s="381"/>
      <c r="D8" s="384"/>
      <c r="E8" s="91" t="s">
        <v>155</v>
      </c>
      <c r="F8" s="148">
        <f>IF(VOC="","",VOC)</f>
        <v>11</v>
      </c>
      <c r="G8" s="91"/>
      <c r="H8" s="88"/>
      <c r="I8" s="385" t="s">
        <v>165</v>
      </c>
      <c r="J8" s="370">
        <f>IF(PCm="","",PCm)</f>
        <v>10</v>
      </c>
      <c r="K8" s="120" t="s">
        <v>436</v>
      </c>
      <c r="L8" s="163">
        <f>O10/P10</f>
        <v>12</v>
      </c>
      <c r="M8" s="289">
        <f>IF(F8="",0,F8)</f>
        <v>11</v>
      </c>
      <c r="N8" s="289">
        <f>IF(F8="","",1)</f>
        <v>1</v>
      </c>
      <c r="O8" s="289"/>
      <c r="P8" s="289"/>
    </row>
    <row r="9" spans="1:16" ht="18.75" customHeight="1">
      <c r="A9" s="7"/>
      <c r="B9" s="5"/>
      <c r="C9" s="381"/>
      <c r="D9" s="384"/>
      <c r="E9" s="91" t="s">
        <v>158</v>
      </c>
      <c r="F9" s="148">
        <f>IF(COMP="","",COMP)</f>
        <v>12</v>
      </c>
      <c r="G9" s="91"/>
      <c r="H9" s="148"/>
      <c r="I9" s="385"/>
      <c r="J9" s="370"/>
      <c r="K9" s="120" t="s">
        <v>437</v>
      </c>
      <c r="L9" s="164">
        <f>15*(L8-10)/3+100</f>
        <v>110</v>
      </c>
      <c r="M9" s="289">
        <f>IF(F9="",0,F9)</f>
        <v>12</v>
      </c>
      <c r="N9" s="289">
        <f>IF(F9="","",1)</f>
        <v>1</v>
      </c>
      <c r="O9" s="289"/>
      <c r="P9" s="289"/>
    </row>
    <row r="10" spans="1:16" ht="21.75" customHeight="1">
      <c r="A10" s="7"/>
      <c r="B10" s="5"/>
      <c r="C10" s="381"/>
      <c r="D10" s="384"/>
      <c r="E10" s="91" t="s">
        <v>156</v>
      </c>
      <c r="F10" s="148">
        <f>F18</f>
        <v>11</v>
      </c>
      <c r="G10" s="91"/>
      <c r="H10" s="148"/>
      <c r="I10" s="86"/>
      <c r="J10" s="90"/>
      <c r="K10" s="1"/>
      <c r="M10" s="289">
        <f>IF(F10="",0,F10)</f>
        <v>11</v>
      </c>
      <c r="N10" s="289">
        <f>IF(F10="","",1)</f>
        <v>1</v>
      </c>
      <c r="O10" s="289">
        <f>SUM(M6:M10)</f>
        <v>60</v>
      </c>
      <c r="P10" s="289">
        <f>SUM(N6:N10)</f>
        <v>5</v>
      </c>
    </row>
    <row r="11" spans="1:16" ht="9.75" customHeight="1">
      <c r="A11" s="7"/>
      <c r="B11" s="5"/>
      <c r="C11" s="381"/>
      <c r="D11" s="380" t="s">
        <v>432</v>
      </c>
      <c r="E11" s="96"/>
      <c r="F11" s="97"/>
      <c r="G11" s="98"/>
      <c r="H11" s="99"/>
      <c r="I11" s="89"/>
      <c r="J11" s="100"/>
      <c r="K11" s="1"/>
      <c r="L11" s="165"/>
      <c r="M11" s="289"/>
      <c r="N11" s="289"/>
      <c r="O11" s="289"/>
      <c r="P11" s="289"/>
    </row>
    <row r="12" spans="1:16" ht="18.75" customHeight="1">
      <c r="A12" s="7"/>
      <c r="B12" s="5"/>
      <c r="C12" s="381"/>
      <c r="D12" s="381"/>
      <c r="E12" s="91"/>
      <c r="F12" s="92"/>
      <c r="G12" s="112"/>
      <c r="H12" s="112"/>
      <c r="I12" s="169"/>
      <c r="J12" s="168"/>
      <c r="K12" s="115" t="s">
        <v>438</v>
      </c>
      <c r="L12" s="165"/>
      <c r="M12" s="289"/>
      <c r="N12" s="289"/>
      <c r="O12" s="289"/>
      <c r="P12" s="289"/>
    </row>
    <row r="13" spans="1:16" ht="18.75" customHeight="1">
      <c r="A13" s="7"/>
      <c r="B13" s="5"/>
      <c r="C13" s="381"/>
      <c r="D13" s="381"/>
      <c r="E13" s="91"/>
      <c r="F13" s="92"/>
      <c r="G13" s="385" t="s">
        <v>160</v>
      </c>
      <c r="H13" s="386">
        <f>IF(AR="","",AR)</f>
        <v>16</v>
      </c>
      <c r="I13" s="169"/>
      <c r="J13" s="168"/>
      <c r="K13" s="120" t="s">
        <v>436</v>
      </c>
      <c r="L13" s="163">
        <f>M13/N13</f>
        <v>16</v>
      </c>
      <c r="M13" s="289">
        <f>IF(H13="",0,H13)</f>
        <v>16</v>
      </c>
      <c r="N13" s="289">
        <f>IF(H13="","",1)</f>
        <v>1</v>
      </c>
      <c r="O13" s="289"/>
      <c r="P13" s="289"/>
    </row>
    <row r="14" spans="1:16" ht="18" customHeight="1">
      <c r="A14" s="7"/>
      <c r="B14" s="5"/>
      <c r="C14" s="381"/>
      <c r="D14" s="381"/>
      <c r="E14" s="91"/>
      <c r="F14" s="92"/>
      <c r="G14" s="385"/>
      <c r="H14" s="386"/>
      <c r="I14" s="169"/>
      <c r="J14" s="168"/>
      <c r="K14" s="120" t="s">
        <v>437</v>
      </c>
      <c r="L14" s="164">
        <f>15*(L13-10)/3+100</f>
        <v>130</v>
      </c>
      <c r="M14" s="289"/>
      <c r="N14" s="289"/>
      <c r="O14" s="289"/>
      <c r="P14" s="289"/>
    </row>
    <row r="15" spans="1:16" ht="9" customHeight="1">
      <c r="A15" s="7"/>
      <c r="B15" s="5"/>
      <c r="C15" s="381"/>
      <c r="D15" s="382"/>
      <c r="E15" s="93"/>
      <c r="F15" s="94"/>
      <c r="G15" s="101"/>
      <c r="H15" s="101"/>
      <c r="I15" s="95"/>
      <c r="J15" s="94"/>
      <c r="K15" s="1"/>
      <c r="L15" s="165"/>
      <c r="M15" s="289"/>
      <c r="N15" s="289"/>
      <c r="O15" s="289"/>
      <c r="P15" s="289"/>
    </row>
    <row r="16" spans="1:16" ht="9.75" customHeight="1">
      <c r="A16" s="7"/>
      <c r="B16" s="5"/>
      <c r="C16" s="381"/>
      <c r="D16" s="170"/>
      <c r="E16" s="112"/>
      <c r="F16" s="103"/>
      <c r="G16" s="102"/>
      <c r="H16" s="100"/>
      <c r="I16" s="89"/>
      <c r="J16" s="100"/>
      <c r="K16" s="1"/>
      <c r="L16" s="165"/>
      <c r="M16" s="289"/>
      <c r="N16" s="289"/>
      <c r="O16" s="289"/>
      <c r="P16" s="289"/>
    </row>
    <row r="17" spans="1:18" ht="18.75" customHeight="1">
      <c r="A17" s="5"/>
      <c r="B17" s="5"/>
      <c r="C17" s="381"/>
      <c r="D17" s="381" t="s">
        <v>433</v>
      </c>
      <c r="E17" s="112"/>
      <c r="F17" s="112"/>
      <c r="G17" s="91" t="s">
        <v>154</v>
      </c>
      <c r="H17" s="148">
        <f>IF(bd="","",bd)</f>
        <v>10</v>
      </c>
      <c r="I17" s="91" t="s">
        <v>159</v>
      </c>
      <c r="J17" s="148">
        <f>IF(MR="","",MR)</f>
        <v>16</v>
      </c>
      <c r="K17" s="115" t="s">
        <v>439</v>
      </c>
      <c r="L17" s="165"/>
      <c r="M17" s="289">
        <f>IF(H17="",0,H17)</f>
        <v>10</v>
      </c>
      <c r="N17" s="289">
        <f>IF(H17="","",1)</f>
        <v>1</v>
      </c>
      <c r="O17" s="289"/>
      <c r="P17" s="289"/>
      <c r="Q17" s="289"/>
      <c r="R17" s="289"/>
    </row>
    <row r="18" spans="1:18" ht="18.75" customHeight="1">
      <c r="A18" s="5"/>
      <c r="B18" s="5"/>
      <c r="C18" s="381"/>
      <c r="D18" s="381"/>
      <c r="E18" s="369" t="s">
        <v>366</v>
      </c>
      <c r="F18" s="370">
        <f>IF(lns="","",lns)</f>
        <v>11</v>
      </c>
      <c r="G18" s="91" t="s">
        <v>157</v>
      </c>
      <c r="H18" s="148">
        <f>IF(DS="","",DS)</f>
        <v>12</v>
      </c>
      <c r="I18" s="91" t="s">
        <v>163</v>
      </c>
      <c r="J18" s="148">
        <f>IF(VP="","",VP)</f>
        <v>9</v>
      </c>
      <c r="K18" s="79" t="s">
        <v>436</v>
      </c>
      <c r="L18" s="163">
        <f>O25/P25</f>
        <v>10.666666666666666</v>
      </c>
      <c r="M18" s="289">
        <f>IF(H18="",0,H18)</f>
        <v>12</v>
      </c>
      <c r="N18" s="289">
        <f>IF(H18="","",1)</f>
        <v>1</v>
      </c>
      <c r="O18" s="289"/>
      <c r="P18" s="289"/>
      <c r="Q18" s="289"/>
      <c r="R18" s="289"/>
    </row>
    <row r="19" spans="1:18" ht="18.75" customHeight="1">
      <c r="A19" s="5"/>
      <c r="B19" s="5"/>
      <c r="C19" s="381"/>
      <c r="D19" s="381"/>
      <c r="E19" s="369"/>
      <c r="F19" s="370"/>
      <c r="G19" s="91" t="s">
        <v>170</v>
      </c>
      <c r="H19" s="148">
        <f>IF(SS="","",SS)</f>
        <v>10</v>
      </c>
      <c r="I19" s="91" t="s">
        <v>164</v>
      </c>
      <c r="J19" s="148">
        <f>IF(FW="","",FW)</f>
        <v>16</v>
      </c>
      <c r="K19" s="120" t="s">
        <v>437</v>
      </c>
      <c r="L19" s="164">
        <f>15*(L18-10)/3+100</f>
        <v>103.33333333333333</v>
      </c>
      <c r="M19" s="289">
        <f>IF(H19="",0,H19)</f>
        <v>10</v>
      </c>
      <c r="N19" s="289">
        <f>IF(H19="","",1)</f>
        <v>1</v>
      </c>
      <c r="O19" s="289"/>
      <c r="P19" s="289"/>
      <c r="Q19" s="289"/>
      <c r="R19" s="289"/>
    </row>
    <row r="20" spans="1:18" ht="18.75" customHeight="1">
      <c r="A20" s="5"/>
      <c r="B20" s="5"/>
      <c r="C20" s="381"/>
      <c r="D20" s="381"/>
      <c r="E20" s="147"/>
      <c r="F20" s="90"/>
      <c r="G20" s="91" t="s">
        <v>166</v>
      </c>
      <c r="H20" s="148">
        <f>IF(CD="","",CD)</f>
        <v>5</v>
      </c>
      <c r="I20" s="91" t="s">
        <v>168</v>
      </c>
      <c r="J20" s="148">
        <f>IF(CA="","",CA)</f>
        <v>7</v>
      </c>
      <c r="K20" s="110"/>
      <c r="L20" s="166"/>
      <c r="M20" s="289">
        <f>IF(H20="",0,H20)</f>
        <v>5</v>
      </c>
      <c r="N20" s="289">
        <f>IF(H20="","",1)</f>
        <v>1</v>
      </c>
      <c r="O20" s="289"/>
      <c r="P20" s="289"/>
      <c r="Q20" s="289"/>
      <c r="R20" s="289"/>
    </row>
    <row r="21" spans="1:18" ht="10.5" customHeight="1">
      <c r="A21" s="5"/>
      <c r="B21" s="5"/>
      <c r="C21" s="382"/>
      <c r="D21" s="382"/>
      <c r="E21" s="85"/>
      <c r="F21" s="83"/>
      <c r="G21" s="80"/>
      <c r="H21" s="111"/>
      <c r="I21" s="80"/>
      <c r="J21" s="81"/>
      <c r="K21" s="107"/>
      <c r="L21" s="167"/>
      <c r="M21" s="289">
        <f>IF(F18="",0,F18)</f>
        <v>11</v>
      </c>
      <c r="N21" s="289">
        <f>IF(F18="","",1)</f>
        <v>1</v>
      </c>
      <c r="O21" s="289"/>
      <c r="P21" s="289"/>
      <c r="Q21" s="289"/>
      <c r="R21" s="289"/>
    </row>
    <row r="22" spans="1:18" ht="18.75" customHeight="1">
      <c r="A22" s="5"/>
      <c r="B22" s="5"/>
      <c r="C22" s="119"/>
      <c r="D22" s="106"/>
      <c r="E22" s="371" t="s">
        <v>440</v>
      </c>
      <c r="F22" s="371"/>
      <c r="G22" s="371" t="s">
        <v>441</v>
      </c>
      <c r="H22" s="371"/>
      <c r="I22" s="371" t="s">
        <v>442</v>
      </c>
      <c r="J22" s="371"/>
      <c r="K22" s="106"/>
      <c r="L22" s="162"/>
      <c r="M22" s="289">
        <f>IF(J17="",0,J17)</f>
        <v>16</v>
      </c>
      <c r="N22" s="289">
        <f>IF(J17="","",1)</f>
        <v>1</v>
      </c>
      <c r="O22" s="289"/>
      <c r="P22" s="289"/>
      <c r="Q22" s="289"/>
      <c r="R22" s="289"/>
    </row>
    <row r="23" spans="1:18" ht="12.75">
      <c r="A23" s="5"/>
      <c r="B23" s="5"/>
      <c r="C23" s="106"/>
      <c r="D23" s="106"/>
      <c r="E23" s="120" t="s">
        <v>436</v>
      </c>
      <c r="F23" s="121">
        <f>F35/G35</f>
        <v>12.2</v>
      </c>
      <c r="G23" s="120" t="s">
        <v>436</v>
      </c>
      <c r="H23" s="121">
        <f>H35/I35</f>
        <v>10.6</v>
      </c>
      <c r="I23" s="120" t="s">
        <v>436</v>
      </c>
      <c r="J23" s="121">
        <f>J35/K35</f>
        <v>11.6</v>
      </c>
      <c r="K23" s="106"/>
      <c r="L23" s="162"/>
      <c r="M23" s="289">
        <f>IF(J18="",0,J18)</f>
        <v>9</v>
      </c>
      <c r="N23" s="289">
        <f>IF(J18="","",1)</f>
        <v>1</v>
      </c>
      <c r="O23" s="289"/>
      <c r="P23" s="289"/>
      <c r="Q23" s="289"/>
      <c r="R23" s="289"/>
    </row>
    <row r="24" spans="1:18" ht="12.75">
      <c r="A24" s="5"/>
      <c r="B24" s="5"/>
      <c r="C24" s="106"/>
      <c r="D24" s="106"/>
      <c r="E24" s="120" t="s">
        <v>437</v>
      </c>
      <c r="F24" s="118">
        <f>15*(F23-10)/3+100</f>
        <v>111</v>
      </c>
      <c r="G24" s="120" t="s">
        <v>437</v>
      </c>
      <c r="H24" s="118">
        <f>15*(H23-10)/3+100</f>
        <v>103</v>
      </c>
      <c r="I24" s="120" t="s">
        <v>437</v>
      </c>
      <c r="J24" s="118">
        <f>15*(J23-10)/3+100</f>
        <v>108</v>
      </c>
      <c r="K24" s="106"/>
      <c r="L24" s="162"/>
      <c r="M24" s="289">
        <f>IF(J19="",0,J19)</f>
        <v>16</v>
      </c>
      <c r="N24" s="289">
        <f>IF(J19="","",1)</f>
        <v>1</v>
      </c>
      <c r="O24" s="289"/>
      <c r="P24" s="289"/>
      <c r="Q24" s="289"/>
      <c r="R24" s="289"/>
    </row>
    <row r="25" spans="1:18" ht="12.75">
      <c r="A25" s="5"/>
      <c r="B25" s="5"/>
      <c r="C25" s="106"/>
      <c r="D25" s="106"/>
      <c r="E25" s="116"/>
      <c r="F25" s="117"/>
      <c r="G25" s="116"/>
      <c r="H25" s="117"/>
      <c r="I25" s="116"/>
      <c r="J25" s="117"/>
      <c r="K25" s="108"/>
      <c r="L25" s="167"/>
      <c r="M25" s="289">
        <f>IF(J20="",0,J20)</f>
        <v>7</v>
      </c>
      <c r="N25" s="289">
        <f>IF(J20="","",1)</f>
        <v>1</v>
      </c>
      <c r="O25" s="290">
        <f>SUM(M17:M25)</f>
        <v>96</v>
      </c>
      <c r="P25" s="290">
        <f>SUM(N17:N25)</f>
        <v>9</v>
      </c>
      <c r="Q25" s="289"/>
      <c r="R25" s="289"/>
    </row>
    <row r="26" spans="1:18" s="105" customFormat="1" ht="24.75" customHeight="1">
      <c r="A26" s="104"/>
      <c r="B26" s="104"/>
      <c r="C26" s="376" t="s">
        <v>443</v>
      </c>
      <c r="D26" s="376"/>
      <c r="E26" s="376"/>
      <c r="F26" s="376"/>
      <c r="G26" s="376"/>
      <c r="H26" s="376"/>
      <c r="I26" s="376"/>
      <c r="J26" s="376"/>
      <c r="K26" s="376"/>
      <c r="L26" s="376"/>
      <c r="M26" s="291"/>
      <c r="N26" s="291"/>
      <c r="O26" s="291"/>
      <c r="P26" s="291"/>
      <c r="Q26" s="291"/>
      <c r="R26" s="291"/>
    </row>
    <row r="27" spans="1:18" s="105" customFormat="1" ht="24.75" customHeight="1">
      <c r="A27" s="104"/>
      <c r="B27" s="104"/>
      <c r="C27" s="377"/>
      <c r="D27" s="377"/>
      <c r="E27" s="377"/>
      <c r="F27" s="377"/>
      <c r="G27" s="377"/>
      <c r="H27" s="377"/>
      <c r="I27" s="377"/>
      <c r="J27" s="377"/>
      <c r="K27" s="377"/>
      <c r="L27" s="377"/>
      <c r="M27" s="291"/>
      <c r="N27" s="291"/>
      <c r="O27" s="291"/>
      <c r="P27" s="291"/>
      <c r="Q27" s="291"/>
      <c r="R27" s="291"/>
    </row>
    <row r="28" spans="1:18" s="158" customFormat="1" ht="16.5" customHeight="1">
      <c r="A28" s="160"/>
      <c r="B28" s="160"/>
      <c r="M28" s="289"/>
      <c r="N28" s="289"/>
      <c r="O28" s="289"/>
      <c r="P28" s="289"/>
      <c r="Q28" s="289"/>
      <c r="R28" s="289"/>
    </row>
    <row r="29" spans="1:18" s="159" customFormat="1" ht="16.5" hidden="1" customHeight="1">
      <c r="A29" s="161"/>
      <c r="B29" s="161"/>
      <c r="C29" s="289"/>
      <c r="D29" s="289"/>
      <c r="E29" s="289"/>
      <c r="F29" s="289">
        <f>IF(F7="",0,F7)</f>
        <v>16</v>
      </c>
      <c r="G29" s="289">
        <f>IF(F7="","",1)</f>
        <v>1</v>
      </c>
      <c r="H29" s="289"/>
      <c r="I29" s="289"/>
      <c r="J29" s="289">
        <f>IF(J8="",0,J8)</f>
        <v>10</v>
      </c>
      <c r="K29" s="289">
        <f>IF(J8="","",1)</f>
        <v>1</v>
      </c>
      <c r="L29" s="289"/>
      <c r="M29" s="289"/>
      <c r="N29" s="289"/>
      <c r="O29" s="289"/>
      <c r="P29" s="289"/>
      <c r="Q29" s="289"/>
      <c r="R29" s="289"/>
    </row>
    <row r="30" spans="1:18" s="159" customFormat="1" ht="16.5" hidden="1" customHeight="1">
      <c r="A30" s="161"/>
      <c r="B30" s="161"/>
      <c r="C30" s="289"/>
      <c r="D30" s="289"/>
      <c r="E30" s="289"/>
      <c r="F30" s="289">
        <f>IF(F8="",0,F8)</f>
        <v>11</v>
      </c>
      <c r="G30" s="289">
        <f>IF(F8="","",1)</f>
        <v>1</v>
      </c>
      <c r="H30" s="289">
        <f>IF(H13="",0,H13)</f>
        <v>16</v>
      </c>
      <c r="I30" s="289">
        <f>IF(H13="","",1)</f>
        <v>1</v>
      </c>
      <c r="J30" s="289">
        <f>IF(J17="",0,J17)</f>
        <v>16</v>
      </c>
      <c r="K30" s="289">
        <f>IF(J17="","",1)</f>
        <v>1</v>
      </c>
      <c r="L30" s="289"/>
      <c r="M30" s="289"/>
      <c r="N30" s="289"/>
      <c r="O30" s="289"/>
      <c r="P30" s="289"/>
      <c r="Q30" s="289"/>
      <c r="R30" s="289"/>
    </row>
    <row r="31" spans="1:18" s="159" customFormat="1" ht="16.5" hidden="1" customHeight="1">
      <c r="A31" s="161"/>
      <c r="B31" s="161"/>
      <c r="C31" s="289"/>
      <c r="D31" s="289"/>
      <c r="E31" s="289"/>
      <c r="F31" s="289">
        <f>IF(F9="",0,F9)</f>
        <v>12</v>
      </c>
      <c r="G31" s="289">
        <f>IF(F9="","",1)</f>
        <v>1</v>
      </c>
      <c r="H31" s="289">
        <f>IF(H17="",0,H17)</f>
        <v>10</v>
      </c>
      <c r="I31" s="289">
        <f>IF(H17="","",1)</f>
        <v>1</v>
      </c>
      <c r="J31" s="289">
        <f>IF(J18="",0,J18)</f>
        <v>9</v>
      </c>
      <c r="K31" s="289">
        <f>IF(J18="","",1)</f>
        <v>1</v>
      </c>
      <c r="L31" s="289"/>
      <c r="M31" s="289"/>
      <c r="N31" s="289"/>
      <c r="O31" s="289"/>
      <c r="P31" s="289"/>
      <c r="Q31" s="289"/>
      <c r="R31" s="289"/>
    </row>
    <row r="32" spans="1:18" s="159" customFormat="1" ht="16.5" hidden="1" customHeight="1">
      <c r="A32" s="161"/>
      <c r="B32" s="161"/>
      <c r="C32" s="289"/>
      <c r="D32" s="289"/>
      <c r="E32" s="289"/>
      <c r="F32" s="289">
        <f>IF(F10="",0,F10)</f>
        <v>11</v>
      </c>
      <c r="G32" s="289">
        <f>IF(F10="","",1)</f>
        <v>1</v>
      </c>
      <c r="H32" s="289">
        <f>IF(H18="",0,H18)</f>
        <v>12</v>
      </c>
      <c r="I32" s="289">
        <f>IF(H18="","",1)</f>
        <v>1</v>
      </c>
      <c r="J32" s="289">
        <f>IF(J19="",0,J19)</f>
        <v>16</v>
      </c>
      <c r="K32" s="289">
        <f>IF(J19="","",1)</f>
        <v>1</v>
      </c>
      <c r="L32" s="289"/>
      <c r="M32" s="289"/>
      <c r="N32" s="289"/>
      <c r="O32" s="289"/>
      <c r="P32" s="289"/>
      <c r="Q32" s="289"/>
      <c r="R32" s="289"/>
    </row>
    <row r="33" spans="1:18" s="159" customFormat="1" ht="16.5" hidden="1" customHeight="1">
      <c r="A33" s="161"/>
      <c r="B33" s="161"/>
      <c r="C33" s="289"/>
      <c r="D33" s="289"/>
      <c r="E33" s="289"/>
      <c r="F33" s="289"/>
      <c r="G33" s="289"/>
      <c r="H33" s="289">
        <f>IF(H19="",0,H19)</f>
        <v>10</v>
      </c>
      <c r="I33" s="289">
        <f>IF(H19="","",1)</f>
        <v>1</v>
      </c>
      <c r="J33" s="289">
        <f>IF(J20="",0,J20)</f>
        <v>7</v>
      </c>
      <c r="K33" s="289">
        <f>IF(J20="","",1)</f>
        <v>1</v>
      </c>
      <c r="L33" s="289"/>
      <c r="M33" s="289"/>
      <c r="N33" s="289"/>
      <c r="O33" s="289"/>
      <c r="P33" s="289"/>
      <c r="Q33" s="289"/>
      <c r="R33" s="289"/>
    </row>
    <row r="34" spans="1:18" s="159" customFormat="1" ht="16.5" hidden="1" customHeight="1">
      <c r="A34" s="161"/>
      <c r="B34" s="161"/>
      <c r="C34" s="289"/>
      <c r="D34" s="289"/>
      <c r="E34" s="289"/>
      <c r="F34" s="289">
        <f>IF(F18="",0,F18)</f>
        <v>11</v>
      </c>
      <c r="G34" s="289">
        <f>IF(F18="","",1)</f>
        <v>1</v>
      </c>
      <c r="H34" s="289">
        <f>IF(H20="",0,H20)</f>
        <v>5</v>
      </c>
      <c r="I34" s="289">
        <f>IF(H20="","",1)</f>
        <v>1</v>
      </c>
      <c r="J34" s="289"/>
      <c r="K34" s="289"/>
      <c r="L34" s="289"/>
      <c r="M34" s="289"/>
      <c r="N34" s="289"/>
      <c r="O34" s="289"/>
      <c r="P34" s="289"/>
      <c r="Q34" s="289"/>
      <c r="R34" s="289"/>
    </row>
    <row r="35" spans="1:18" s="159" customFormat="1" ht="16.5" hidden="1" customHeight="1">
      <c r="A35" s="161"/>
      <c r="B35" s="161"/>
      <c r="C35" s="289"/>
      <c r="D35" s="289"/>
      <c r="E35" s="289"/>
      <c r="F35" s="289">
        <f t="shared" ref="F35:K35" si="0">SUM(F29:F34)</f>
        <v>61</v>
      </c>
      <c r="G35" s="289">
        <f t="shared" si="0"/>
        <v>5</v>
      </c>
      <c r="H35" s="289">
        <f t="shared" si="0"/>
        <v>53</v>
      </c>
      <c r="I35" s="289">
        <f t="shared" si="0"/>
        <v>5</v>
      </c>
      <c r="J35" s="289">
        <f t="shared" si="0"/>
        <v>58</v>
      </c>
      <c r="K35" s="289">
        <f t="shared" si="0"/>
        <v>5</v>
      </c>
      <c r="L35" s="289"/>
      <c r="M35" s="289"/>
      <c r="N35" s="289"/>
      <c r="O35" s="289"/>
      <c r="P35" s="289"/>
      <c r="Q35" s="289"/>
      <c r="R35" s="289"/>
    </row>
    <row r="36" spans="1:18" s="159" customFormat="1" ht="16.5" hidden="1" customHeight="1">
      <c r="A36" s="161"/>
      <c r="B36" s="161"/>
      <c r="C36" s="289"/>
      <c r="D36" s="289"/>
      <c r="E36" s="289"/>
      <c r="F36" s="289"/>
      <c r="G36" s="289"/>
      <c r="H36" s="289"/>
      <c r="I36" s="289"/>
      <c r="J36" s="289"/>
      <c r="K36" s="289"/>
      <c r="L36" s="289"/>
      <c r="M36" s="289"/>
      <c r="N36" s="289"/>
      <c r="O36" s="289"/>
      <c r="P36" s="289"/>
      <c r="Q36" s="289"/>
      <c r="R36" s="289"/>
    </row>
    <row r="37" spans="1:18" s="159" customFormat="1" ht="16.5" customHeight="1">
      <c r="A37" s="161"/>
      <c r="B37" s="161"/>
      <c r="C37" s="289"/>
      <c r="D37" s="289"/>
      <c r="E37" s="158"/>
      <c r="F37" s="158"/>
      <c r="G37" s="158"/>
      <c r="H37" s="158"/>
      <c r="I37" s="158"/>
      <c r="J37" s="158"/>
      <c r="K37" s="158"/>
      <c r="L37" s="158"/>
      <c r="M37" s="289"/>
      <c r="N37" s="289"/>
      <c r="O37" s="289"/>
      <c r="P37" s="289"/>
      <c r="Q37" s="289"/>
      <c r="R37" s="289"/>
    </row>
    <row r="38" spans="1:18" s="158" customFormat="1" ht="16.5" customHeight="1">
      <c r="A38" s="160"/>
      <c r="B38" s="160"/>
      <c r="M38" s="289"/>
      <c r="N38" s="289"/>
      <c r="O38" s="289"/>
      <c r="P38" s="289"/>
      <c r="Q38" s="289"/>
      <c r="R38" s="289"/>
    </row>
    <row r="39" spans="1:18" s="158" customFormat="1">
      <c r="A39" s="160"/>
      <c r="B39" s="160"/>
      <c r="M39" s="289"/>
      <c r="N39" s="289"/>
      <c r="O39" s="289"/>
      <c r="P39" s="289"/>
      <c r="Q39" s="289"/>
      <c r="R39" s="289"/>
    </row>
    <row r="40" spans="1:18">
      <c r="A40" s="5"/>
      <c r="B40" s="5"/>
      <c r="M40" s="289"/>
      <c r="N40" s="289"/>
      <c r="O40" s="289"/>
      <c r="P40" s="289"/>
      <c r="Q40" s="289"/>
      <c r="R40" s="289"/>
    </row>
    <row r="41" spans="1:18">
      <c r="A41" s="5"/>
      <c r="B41" s="5"/>
      <c r="M41" s="289"/>
      <c r="N41" s="289"/>
      <c r="O41" s="289"/>
      <c r="P41" s="289"/>
      <c r="Q41" s="289"/>
      <c r="R41" s="289"/>
    </row>
    <row r="42" spans="1:18">
      <c r="A42" s="5"/>
      <c r="B42" s="5"/>
      <c r="M42" s="289"/>
      <c r="N42" s="289"/>
      <c r="O42" s="289"/>
      <c r="P42" s="289"/>
      <c r="Q42" s="289"/>
      <c r="R42" s="289"/>
    </row>
    <row r="43" spans="1:18">
      <c r="A43" s="5"/>
      <c r="B43" s="5"/>
      <c r="C43" s="5"/>
      <c r="D43" s="5"/>
      <c r="E43" s="7"/>
      <c r="F43" s="7"/>
      <c r="H43" s="5"/>
      <c r="I43" s="69"/>
      <c r="J43" s="5"/>
      <c r="M43" s="289"/>
      <c r="N43" s="289"/>
      <c r="O43" s="289"/>
      <c r="P43" s="289"/>
      <c r="Q43" s="289"/>
      <c r="R43" s="289"/>
    </row>
    <row r="44" spans="1:18">
      <c r="A44" s="5"/>
      <c r="B44" s="5"/>
      <c r="C44" s="299"/>
      <c r="D44" s="299"/>
      <c r="E44" s="299"/>
      <c r="F44" s="299"/>
      <c r="G44" s="299"/>
      <c r="H44" s="299"/>
      <c r="I44" s="299"/>
      <c r="J44" s="299"/>
      <c r="M44" s="289"/>
      <c r="N44" s="289"/>
      <c r="O44" s="289"/>
      <c r="P44" s="289"/>
      <c r="Q44" s="289"/>
      <c r="R44" s="289"/>
    </row>
    <row r="45" spans="1:18">
      <c r="A45" s="5"/>
      <c r="B45" s="5"/>
      <c r="C45" s="299"/>
      <c r="D45" s="299"/>
      <c r="E45" s="299"/>
      <c r="F45" s="299"/>
      <c r="G45" s="299"/>
      <c r="H45" s="299"/>
      <c r="I45" s="299"/>
      <c r="J45" s="299"/>
      <c r="M45" s="289"/>
      <c r="N45" s="289"/>
      <c r="O45" s="289"/>
      <c r="P45" s="289"/>
      <c r="Q45" s="289"/>
      <c r="R45" s="289"/>
    </row>
    <row r="46" spans="1:18">
      <c r="A46" s="5"/>
      <c r="B46" s="5"/>
      <c r="C46" s="299"/>
      <c r="D46" s="299"/>
      <c r="E46" s="299"/>
      <c r="F46" s="299"/>
      <c r="G46" s="299"/>
      <c r="H46" s="299"/>
      <c r="I46" s="299"/>
      <c r="J46" s="299"/>
      <c r="M46" s="289"/>
      <c r="N46" s="289"/>
      <c r="O46" s="289"/>
      <c r="P46" s="289"/>
      <c r="Q46" s="289"/>
      <c r="R46" s="289"/>
    </row>
  </sheetData>
  <sheetProtection password="8D61" sheet="1" objects="1" scenarios="1" selectLockedCells="1" selectUnlockedCells="1"/>
  <mergeCells count="20">
    <mergeCell ref="C26:L27"/>
    <mergeCell ref="C44:J46"/>
    <mergeCell ref="E5:F5"/>
    <mergeCell ref="G5:H5"/>
    <mergeCell ref="I5:J5"/>
    <mergeCell ref="C6:C21"/>
    <mergeCell ref="D6:D10"/>
    <mergeCell ref="D11:D15"/>
    <mergeCell ref="D17:D21"/>
    <mergeCell ref="G13:G14"/>
    <mergeCell ref="H13:H14"/>
    <mergeCell ref="I8:I9"/>
    <mergeCell ref="J8:J9"/>
    <mergeCell ref="I22:J22"/>
    <mergeCell ref="E18:E19"/>
    <mergeCell ref="F18:F19"/>
    <mergeCell ref="E22:F22"/>
    <mergeCell ref="G22:H22"/>
    <mergeCell ref="E2:J2"/>
    <mergeCell ref="E4:J4"/>
  </mergeCells>
  <phoneticPr fontId="3" type="noConversion"/>
  <printOptions horizontalCentered="1" verticalCentered="1"/>
  <pageMargins left="0" right="0" top="0" bottom="0" header="0.5" footer="0.5"/>
  <pageSetup orientation="landscape" horizontalDpi="4294967293" r:id="rId1"/>
  <headerFooter alignWithMargins="0">
    <oddHeader>&amp;C&amp;16DUMONT/WILLIS WAIS-IV Computer Template</oddHeader>
    <oddFooter>&amp;LWAIS-IV © The Psychological Corporation All rights reserved &amp;RPage &amp;P  WAIS-IV Template © Dumont - Willis 2008</oddFooter>
  </headerFooter>
</worksheet>
</file>

<file path=docProps/app.xml><?xml version="1.0" encoding="utf-8"?>
<Properties xmlns="http://schemas.openxmlformats.org/officeDocument/2006/extended-properties" xmlns:vt="http://schemas.openxmlformats.org/officeDocument/2006/docPropsVTypes">
  <Application>Microsoft Excel Online</Application>
  <Manager/>
  <Company>Plattsburgh State University</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Ron Dumont</dc:creator>
  <cp:keywords/>
  <dc:description/>
  <cp:lastModifiedBy>Brandon Gonzalez</cp:lastModifiedBy>
  <cp:revision/>
  <dcterms:created xsi:type="dcterms:W3CDTF">1999-06-03T00:12:16Z</dcterms:created>
  <dcterms:modified xsi:type="dcterms:W3CDTF">2024-07-01T15:45:33Z</dcterms:modified>
  <cp:category/>
  <cp:contentStatus/>
</cp:coreProperties>
</file>